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ulie\Recherche\Projet éval simplifié localisation\SELA simplifié version 2\Documents à diffuser\Fichier Excel\"/>
    </mc:Choice>
  </mc:AlternateContent>
  <bookViews>
    <workbookView xWindow="0" yWindow="0" windowWidth="28800" windowHeight="12990" tabRatio="926"/>
  </bookViews>
  <sheets>
    <sheet name="Instructions" sheetId="11" r:id="rId1"/>
    <sheet name="Caractérisation" sheetId="1" r:id="rId2"/>
    <sheet name="Identification" sheetId="9" r:id="rId3"/>
    <sheet name="Entrée de données" sheetId="4" r:id="rId4"/>
    <sheet name="Analyse" sheetId="5" r:id="rId5"/>
    <sheet name="Analyse supplémentaire" sheetId="16" r:id="rId6"/>
    <sheet name="Graphique d'analyse" sheetId="14" r:id="rId7"/>
    <sheet name="Confusions" sheetId="15" r:id="rId8"/>
    <sheet name="Calculs" sheetId="2" r:id="rId9"/>
    <sheet name="Séquences" sheetId="10" r:id="rId10"/>
  </sheets>
  <definedNames>
    <definedName name="_xlnm.Print_Area" localSheetId="4">Analyse!$A$1:$H$37</definedName>
    <definedName name="_xlnm.Print_Area" localSheetId="5">'Analyse supplémentaire'!$A$1:$G$70</definedName>
    <definedName name="_xlnm.Print_Area" localSheetId="1">Caractérisation!$A$1:$E$36</definedName>
    <definedName name="_xlnm.Print_Area" localSheetId="6">'Graphique d''analyse'!$A$1:$H$26</definedName>
    <definedName name="_xlnm.Print_Area" localSheetId="2">Identification!$A$1:$B$13</definedName>
    <definedName name="_xlnm.Print_Area" localSheetId="0">Instructions!$A$1:$E$89</definedName>
  </definedNames>
  <calcPr calcId="162913"/>
</workbook>
</file>

<file path=xl/calcChain.xml><?xml version="1.0" encoding="utf-8"?>
<calcChain xmlns="http://schemas.openxmlformats.org/spreadsheetml/2006/main">
  <c r="K26" i="1" l="1"/>
  <c r="L26" i="1"/>
  <c r="P26" i="1"/>
  <c r="K27" i="1"/>
  <c r="L27" i="1"/>
  <c r="P27" i="1"/>
  <c r="A4" i="14" l="1"/>
  <c r="A3" i="14"/>
  <c r="A2" i="14"/>
  <c r="A5" i="16"/>
  <c r="A3" i="4"/>
  <c r="A3" i="5"/>
  <c r="A4" i="16" l="1"/>
  <c r="A6" i="16"/>
  <c r="V33" i="4" l="1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D8" i="15"/>
  <c r="D9" i="15"/>
  <c r="D10" i="15"/>
  <c r="D11" i="15"/>
  <c r="D12" i="15"/>
  <c r="D13" i="15"/>
  <c r="D14" i="15"/>
  <c r="D7" i="15"/>
  <c r="C8" i="15"/>
  <c r="C9" i="15"/>
  <c r="C10" i="15"/>
  <c r="C11" i="15"/>
  <c r="C12" i="15"/>
  <c r="C13" i="15"/>
  <c r="C14" i="15"/>
  <c r="C7" i="15"/>
  <c r="E14" i="15"/>
  <c r="E13" i="15"/>
  <c r="E12" i="15"/>
  <c r="E11" i="15"/>
  <c r="E10" i="15"/>
  <c r="E9" i="15"/>
  <c r="E8" i="15"/>
  <c r="E7" i="15"/>
  <c r="B14" i="15"/>
  <c r="B13" i="15"/>
  <c r="B12" i="15"/>
  <c r="B11" i="15"/>
  <c r="B10" i="15"/>
  <c r="B9" i="15"/>
  <c r="B8" i="15"/>
  <c r="B7" i="15"/>
  <c r="M14" i="15"/>
  <c r="M13" i="15"/>
  <c r="M12" i="15"/>
  <c r="M10" i="15"/>
  <c r="M9" i="15"/>
  <c r="M8" i="15"/>
  <c r="J14" i="15"/>
  <c r="J13" i="15"/>
  <c r="J12" i="15"/>
  <c r="J10" i="15"/>
  <c r="J9" i="15"/>
  <c r="J8" i="15"/>
  <c r="I14" i="15"/>
  <c r="I12" i="15"/>
  <c r="I11" i="15"/>
  <c r="I10" i="15"/>
  <c r="I8" i="15"/>
  <c r="I7" i="15"/>
  <c r="F14" i="15"/>
  <c r="F12" i="15"/>
  <c r="F11" i="15"/>
  <c r="F10" i="15"/>
  <c r="F8" i="15"/>
  <c r="F7" i="15"/>
  <c r="B5" i="9"/>
  <c r="A5" i="4"/>
  <c r="Q9" i="4" l="1"/>
  <c r="R9" i="4"/>
  <c r="V9" i="4"/>
  <c r="C7" i="2"/>
  <c r="I4" i="10"/>
  <c r="I5" i="10" l="1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301" i="10"/>
  <c r="I302" i="10"/>
  <c r="I303" i="10"/>
  <c r="I304" i="10"/>
  <c r="I305" i="10"/>
  <c r="I306" i="10"/>
  <c r="I307" i="10"/>
  <c r="I308" i="10"/>
  <c r="I309" i="10"/>
  <c r="I310" i="10"/>
  <c r="I311" i="10"/>
  <c r="I312" i="10"/>
  <c r="I313" i="10"/>
  <c r="I314" i="10"/>
  <c r="I315" i="10"/>
  <c r="I316" i="10"/>
  <c r="I317" i="10"/>
  <c r="I318" i="10"/>
  <c r="I319" i="10"/>
  <c r="I320" i="10"/>
  <c r="I321" i="10"/>
  <c r="I322" i="10"/>
  <c r="I323" i="10"/>
  <c r="I324" i="10"/>
  <c r="I325" i="10"/>
  <c r="I326" i="10"/>
  <c r="I327" i="10"/>
  <c r="I328" i="10"/>
  <c r="I329" i="10"/>
  <c r="I330" i="10"/>
  <c r="I331" i="10"/>
  <c r="I332" i="10"/>
  <c r="I333" i="10"/>
  <c r="I334" i="10"/>
  <c r="I335" i="10"/>
  <c r="I336" i="10"/>
  <c r="I337" i="10"/>
  <c r="I338" i="10"/>
  <c r="I339" i="10"/>
  <c r="I340" i="10"/>
  <c r="I341" i="10"/>
  <c r="I342" i="10"/>
  <c r="I343" i="10"/>
  <c r="I344" i="10"/>
  <c r="I345" i="10"/>
  <c r="I346" i="10"/>
  <c r="I347" i="10"/>
  <c r="I348" i="10"/>
  <c r="I349" i="10"/>
  <c r="I350" i="10"/>
  <c r="I351" i="10"/>
  <c r="I352" i="10"/>
  <c r="I353" i="10"/>
  <c r="I354" i="10"/>
  <c r="I355" i="10"/>
  <c r="I356" i="10"/>
  <c r="I357" i="10"/>
  <c r="I358" i="10"/>
  <c r="I359" i="10"/>
  <c r="I360" i="10"/>
  <c r="I361" i="10"/>
  <c r="I362" i="10"/>
  <c r="I363" i="10"/>
  <c r="I364" i="10"/>
  <c r="I365" i="10"/>
  <c r="I366" i="10"/>
  <c r="I367" i="10"/>
  <c r="I368" i="10"/>
  <c r="I369" i="10"/>
  <c r="I370" i="10"/>
  <c r="I371" i="10"/>
  <c r="I372" i="10"/>
  <c r="I373" i="10"/>
  <c r="I374" i="10"/>
  <c r="I375" i="10"/>
  <c r="I376" i="10"/>
  <c r="I377" i="10"/>
  <c r="I378" i="10"/>
  <c r="I379" i="10"/>
  <c r="I380" i="10"/>
  <c r="I381" i="10"/>
  <c r="I382" i="10"/>
  <c r="I383" i="10"/>
  <c r="I384" i="10"/>
  <c r="I385" i="10"/>
  <c r="I386" i="10"/>
  <c r="I387" i="10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A4" i="5"/>
  <c r="A2" i="5"/>
  <c r="A4" i="4"/>
  <c r="A2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4" i="10"/>
  <c r="B345" i="10"/>
  <c r="B346" i="10"/>
  <c r="B347" i="10"/>
  <c r="B348" i="10"/>
  <c r="B349" i="10"/>
  <c r="B350" i="10"/>
  <c r="B351" i="10"/>
  <c r="B352" i="10"/>
  <c r="B353" i="10"/>
  <c r="B354" i="10"/>
  <c r="B355" i="10"/>
  <c r="B356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B373" i="10"/>
  <c r="B374" i="10"/>
  <c r="B375" i="10"/>
  <c r="B376" i="10"/>
  <c r="B377" i="10"/>
  <c r="B378" i="10"/>
  <c r="B379" i="10"/>
  <c r="B380" i="10"/>
  <c r="B381" i="10"/>
  <c r="B382" i="10"/>
  <c r="B383" i="10"/>
  <c r="B384" i="10"/>
  <c r="B385" i="10"/>
  <c r="B386" i="10"/>
  <c r="B387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315" i="10"/>
  <c r="B316" i="10"/>
  <c r="B317" i="10"/>
  <c r="B318" i="10"/>
  <c r="B319" i="10"/>
  <c r="B320" i="10"/>
  <c r="B321" i="10"/>
  <c r="B322" i="10"/>
  <c r="B323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16" i="2"/>
  <c r="B7" i="2"/>
  <c r="C6" i="2"/>
  <c r="H26" i="1" s="1"/>
  <c r="B6" i="2"/>
  <c r="G26" i="1" s="1"/>
  <c r="C5" i="2"/>
  <c r="H27" i="1" s="1"/>
  <c r="B5" i="2"/>
  <c r="G27" i="1" s="1"/>
  <c r="C68" i="4" l="1"/>
  <c r="I68" i="4"/>
  <c r="H68" i="4"/>
  <c r="G68" i="4"/>
  <c r="J68" i="4" s="1"/>
  <c r="D68" i="4"/>
  <c r="C56" i="4"/>
  <c r="I56" i="4"/>
  <c r="H56" i="4"/>
  <c r="G56" i="4"/>
  <c r="D56" i="4"/>
  <c r="I44" i="4"/>
  <c r="C44" i="4"/>
  <c r="H44" i="4"/>
  <c r="G44" i="4"/>
  <c r="D44" i="4"/>
  <c r="I36" i="4"/>
  <c r="C36" i="4"/>
  <c r="H36" i="4"/>
  <c r="G36" i="4"/>
  <c r="D36" i="4"/>
  <c r="C28" i="4"/>
  <c r="I28" i="4"/>
  <c r="H28" i="4"/>
  <c r="G28" i="4"/>
  <c r="J28" i="4" s="1"/>
  <c r="D28" i="4"/>
  <c r="I16" i="4"/>
  <c r="C16" i="4"/>
  <c r="G16" i="4"/>
  <c r="J16" i="4" s="1"/>
  <c r="D16" i="4"/>
  <c r="H16" i="4"/>
  <c r="C71" i="4"/>
  <c r="I71" i="4"/>
  <c r="H71" i="4"/>
  <c r="G71" i="4"/>
  <c r="D71" i="4"/>
  <c r="C67" i="4"/>
  <c r="I67" i="4"/>
  <c r="H67" i="4"/>
  <c r="G67" i="4"/>
  <c r="J67" i="4" s="1"/>
  <c r="D67" i="4"/>
  <c r="C63" i="4"/>
  <c r="I63" i="4"/>
  <c r="H63" i="4"/>
  <c r="G63" i="4"/>
  <c r="J63" i="4" s="1"/>
  <c r="D63" i="4"/>
  <c r="C59" i="4"/>
  <c r="I59" i="4"/>
  <c r="H59" i="4"/>
  <c r="G59" i="4"/>
  <c r="J59" i="4" s="1"/>
  <c r="D59" i="4"/>
  <c r="C55" i="4"/>
  <c r="I55" i="4"/>
  <c r="H55" i="4"/>
  <c r="G55" i="4"/>
  <c r="D55" i="4"/>
  <c r="C51" i="4"/>
  <c r="I51" i="4"/>
  <c r="H51" i="4"/>
  <c r="G51" i="4"/>
  <c r="J51" i="4" s="1"/>
  <c r="D51" i="4"/>
  <c r="C47" i="4"/>
  <c r="I47" i="4"/>
  <c r="H47" i="4"/>
  <c r="G47" i="4"/>
  <c r="J47" i="4" s="1"/>
  <c r="D47" i="4"/>
  <c r="C43" i="4"/>
  <c r="I43" i="4"/>
  <c r="H43" i="4"/>
  <c r="G43" i="4"/>
  <c r="K43" i="4" s="1"/>
  <c r="D43" i="4"/>
  <c r="C39" i="4"/>
  <c r="I39" i="4"/>
  <c r="H39" i="4"/>
  <c r="G39" i="4"/>
  <c r="D39" i="4"/>
  <c r="C35" i="4"/>
  <c r="I35" i="4"/>
  <c r="H35" i="4"/>
  <c r="G35" i="4"/>
  <c r="J35" i="4" s="1"/>
  <c r="D35" i="4"/>
  <c r="C31" i="4"/>
  <c r="I31" i="4"/>
  <c r="H31" i="4"/>
  <c r="G31" i="4"/>
  <c r="J31" i="4" s="1"/>
  <c r="D31" i="4"/>
  <c r="C27" i="4"/>
  <c r="I27" i="4"/>
  <c r="H27" i="4"/>
  <c r="G27" i="4"/>
  <c r="K27" i="4" s="1"/>
  <c r="D27" i="4"/>
  <c r="C23" i="4"/>
  <c r="I23" i="4"/>
  <c r="H23" i="4"/>
  <c r="G23" i="4"/>
  <c r="D23" i="4"/>
  <c r="C19" i="4"/>
  <c r="I19" i="4"/>
  <c r="H19" i="4"/>
  <c r="G19" i="4"/>
  <c r="D19" i="4"/>
  <c r="C15" i="4"/>
  <c r="I15" i="4"/>
  <c r="H15" i="4"/>
  <c r="G15" i="4"/>
  <c r="K15" i="4" s="1"/>
  <c r="D15" i="4"/>
  <c r="C11" i="4"/>
  <c r="I11" i="4"/>
  <c r="H11" i="4"/>
  <c r="G11" i="4"/>
  <c r="J11" i="4" s="1"/>
  <c r="D11" i="4"/>
  <c r="C72" i="4"/>
  <c r="I72" i="4"/>
  <c r="H72" i="4"/>
  <c r="G72" i="4"/>
  <c r="K72" i="4" s="1"/>
  <c r="D72" i="4"/>
  <c r="I60" i="4"/>
  <c r="C60" i="4"/>
  <c r="H60" i="4"/>
  <c r="G60" i="4"/>
  <c r="J60" i="4" s="1"/>
  <c r="D60" i="4"/>
  <c r="C48" i="4"/>
  <c r="I48" i="4"/>
  <c r="G48" i="4"/>
  <c r="J48" i="4" s="1"/>
  <c r="H48" i="4"/>
  <c r="D48" i="4"/>
  <c r="C40" i="4"/>
  <c r="I40" i="4"/>
  <c r="H40" i="4"/>
  <c r="G40" i="4"/>
  <c r="D40" i="4"/>
  <c r="I24" i="4"/>
  <c r="C24" i="4"/>
  <c r="H24" i="4"/>
  <c r="G24" i="4"/>
  <c r="D24" i="4"/>
  <c r="C12" i="4"/>
  <c r="I12" i="4"/>
  <c r="H12" i="4"/>
  <c r="G12" i="4"/>
  <c r="K12" i="4" s="1"/>
  <c r="D12" i="4"/>
  <c r="C66" i="4"/>
  <c r="I66" i="4"/>
  <c r="H66" i="4"/>
  <c r="G66" i="4"/>
  <c r="K66" i="4" s="1"/>
  <c r="D66" i="4"/>
  <c r="C62" i="4"/>
  <c r="I62" i="4"/>
  <c r="H62" i="4"/>
  <c r="G62" i="4"/>
  <c r="K62" i="4" s="1"/>
  <c r="D62" i="4"/>
  <c r="C58" i="4"/>
  <c r="I58" i="4"/>
  <c r="H58" i="4"/>
  <c r="G58" i="4"/>
  <c r="D58" i="4"/>
  <c r="C54" i="4"/>
  <c r="I54" i="4"/>
  <c r="H54" i="4"/>
  <c r="G54" i="4"/>
  <c r="J54" i="4" s="1"/>
  <c r="D54" i="4"/>
  <c r="C50" i="4"/>
  <c r="I50" i="4"/>
  <c r="H50" i="4"/>
  <c r="G50" i="4"/>
  <c r="J50" i="4" s="1"/>
  <c r="D50" i="4"/>
  <c r="C46" i="4"/>
  <c r="I46" i="4"/>
  <c r="H46" i="4"/>
  <c r="G46" i="4"/>
  <c r="K46" i="4" s="1"/>
  <c r="D46" i="4"/>
  <c r="C42" i="4"/>
  <c r="I42" i="4"/>
  <c r="H42" i="4"/>
  <c r="G42" i="4"/>
  <c r="J42" i="4" s="1"/>
  <c r="D42" i="4"/>
  <c r="C38" i="4"/>
  <c r="I38" i="4"/>
  <c r="H38" i="4"/>
  <c r="G38" i="4"/>
  <c r="J38" i="4" s="1"/>
  <c r="D38" i="4"/>
  <c r="C34" i="4"/>
  <c r="I34" i="4"/>
  <c r="H34" i="4"/>
  <c r="G34" i="4"/>
  <c r="J34" i="4" s="1"/>
  <c r="D34" i="4"/>
  <c r="C30" i="4"/>
  <c r="I30" i="4"/>
  <c r="H30" i="4"/>
  <c r="G30" i="4"/>
  <c r="K30" i="4" s="1"/>
  <c r="D30" i="4"/>
  <c r="C26" i="4"/>
  <c r="I26" i="4"/>
  <c r="H26" i="4"/>
  <c r="G26" i="4"/>
  <c r="J26" i="4" s="1"/>
  <c r="D26" i="4"/>
  <c r="C22" i="4"/>
  <c r="I22" i="4"/>
  <c r="H22" i="4"/>
  <c r="G22" i="4"/>
  <c r="J22" i="4" s="1"/>
  <c r="D22" i="4"/>
  <c r="C18" i="4"/>
  <c r="I18" i="4"/>
  <c r="H18" i="4"/>
  <c r="G18" i="4"/>
  <c r="K18" i="4" s="1"/>
  <c r="D18" i="4"/>
  <c r="C14" i="4"/>
  <c r="I14" i="4"/>
  <c r="H14" i="4"/>
  <c r="G14" i="4"/>
  <c r="K14" i="4" s="1"/>
  <c r="D14" i="4"/>
  <c r="C10" i="4"/>
  <c r="I10" i="4"/>
  <c r="H10" i="4"/>
  <c r="G10" i="4"/>
  <c r="D10" i="4"/>
  <c r="I64" i="4"/>
  <c r="C64" i="4"/>
  <c r="D64" i="4"/>
  <c r="H64" i="4"/>
  <c r="G64" i="4"/>
  <c r="J64" i="4" s="1"/>
  <c r="I52" i="4"/>
  <c r="C52" i="4"/>
  <c r="H52" i="4"/>
  <c r="G52" i="4"/>
  <c r="J52" i="4" s="1"/>
  <c r="D52" i="4"/>
  <c r="I32" i="4"/>
  <c r="C32" i="4"/>
  <c r="H32" i="4"/>
  <c r="D32" i="4"/>
  <c r="G32" i="4"/>
  <c r="J32" i="4" s="1"/>
  <c r="I20" i="4"/>
  <c r="C20" i="4"/>
  <c r="H20" i="4"/>
  <c r="G20" i="4"/>
  <c r="J20" i="4" s="1"/>
  <c r="D20" i="4"/>
  <c r="C70" i="4"/>
  <c r="I70" i="4"/>
  <c r="H70" i="4"/>
  <c r="G70" i="4"/>
  <c r="D70" i="4"/>
  <c r="I69" i="4"/>
  <c r="H69" i="4"/>
  <c r="G69" i="4"/>
  <c r="K69" i="4" s="1"/>
  <c r="D69" i="4"/>
  <c r="C69" i="4"/>
  <c r="I65" i="4"/>
  <c r="H65" i="4"/>
  <c r="G65" i="4"/>
  <c r="J65" i="4" s="1"/>
  <c r="D65" i="4"/>
  <c r="C65" i="4"/>
  <c r="I61" i="4"/>
  <c r="H61" i="4"/>
  <c r="G61" i="4"/>
  <c r="K61" i="4" s="1"/>
  <c r="D61" i="4"/>
  <c r="C61" i="4"/>
  <c r="I57" i="4"/>
  <c r="H57" i="4"/>
  <c r="G57" i="4"/>
  <c r="K57" i="4" s="1"/>
  <c r="D57" i="4"/>
  <c r="C57" i="4"/>
  <c r="I53" i="4"/>
  <c r="H53" i="4"/>
  <c r="G53" i="4"/>
  <c r="J53" i="4" s="1"/>
  <c r="D53" i="4"/>
  <c r="C53" i="4"/>
  <c r="I49" i="4"/>
  <c r="H49" i="4"/>
  <c r="G49" i="4"/>
  <c r="J49" i="4" s="1"/>
  <c r="D49" i="4"/>
  <c r="C49" i="4"/>
  <c r="I45" i="4"/>
  <c r="H45" i="4"/>
  <c r="G45" i="4"/>
  <c r="K45" i="4" s="1"/>
  <c r="D45" i="4"/>
  <c r="C45" i="4"/>
  <c r="I41" i="4"/>
  <c r="H41" i="4"/>
  <c r="G41" i="4"/>
  <c r="J41" i="4" s="1"/>
  <c r="D41" i="4"/>
  <c r="C41" i="4"/>
  <c r="I37" i="4"/>
  <c r="H37" i="4"/>
  <c r="G37" i="4"/>
  <c r="J37" i="4" s="1"/>
  <c r="D37" i="4"/>
  <c r="C37" i="4"/>
  <c r="I33" i="4"/>
  <c r="H33" i="4"/>
  <c r="G33" i="4"/>
  <c r="K33" i="4" s="1"/>
  <c r="D33" i="4"/>
  <c r="C33" i="4"/>
  <c r="I29" i="4"/>
  <c r="H29" i="4"/>
  <c r="G29" i="4"/>
  <c r="J29" i="4" s="1"/>
  <c r="D29" i="4"/>
  <c r="C29" i="4"/>
  <c r="I25" i="4"/>
  <c r="H25" i="4"/>
  <c r="G25" i="4"/>
  <c r="K25" i="4" s="1"/>
  <c r="D25" i="4"/>
  <c r="C25" i="4"/>
  <c r="I21" i="4"/>
  <c r="H21" i="4"/>
  <c r="G21" i="4"/>
  <c r="J21" i="4" s="1"/>
  <c r="D21" i="4"/>
  <c r="C21" i="4"/>
  <c r="I17" i="4"/>
  <c r="H17" i="4"/>
  <c r="G17" i="4"/>
  <c r="J17" i="4" s="1"/>
  <c r="D17" i="4"/>
  <c r="C17" i="4"/>
  <c r="I13" i="4"/>
  <c r="H13" i="4"/>
  <c r="G13" i="4"/>
  <c r="J13" i="4" s="1"/>
  <c r="D13" i="4"/>
  <c r="C13" i="4"/>
  <c r="I9" i="4"/>
  <c r="H9" i="4"/>
  <c r="G9" i="4"/>
  <c r="K9" i="4" s="1"/>
  <c r="D9" i="4"/>
  <c r="C9" i="4"/>
  <c r="N26" i="1"/>
  <c r="N27" i="1"/>
  <c r="T34" i="4"/>
  <c r="T38" i="4"/>
  <c r="T42" i="4"/>
  <c r="T46" i="4"/>
  <c r="T50" i="4"/>
  <c r="T54" i="4"/>
  <c r="T58" i="4"/>
  <c r="T62" i="4"/>
  <c r="T66" i="4"/>
  <c r="T70" i="4"/>
  <c r="T37" i="4"/>
  <c r="T41" i="4"/>
  <c r="T45" i="4"/>
  <c r="T49" i="4"/>
  <c r="T53" i="4"/>
  <c r="T57" i="4"/>
  <c r="T61" i="4"/>
  <c r="T65" i="4"/>
  <c r="T69" i="4"/>
  <c r="T36" i="4"/>
  <c r="T40" i="4"/>
  <c r="T44" i="4"/>
  <c r="T48" i="4"/>
  <c r="T52" i="4"/>
  <c r="T56" i="4"/>
  <c r="T60" i="4"/>
  <c r="T64" i="4"/>
  <c r="T68" i="4"/>
  <c r="T72" i="4"/>
  <c r="T35" i="4"/>
  <c r="T39" i="4"/>
  <c r="T43" i="4"/>
  <c r="T47" i="4"/>
  <c r="T51" i="4"/>
  <c r="T55" i="4"/>
  <c r="T59" i="4"/>
  <c r="T63" i="4"/>
  <c r="T67" i="4"/>
  <c r="T71" i="4"/>
  <c r="T33" i="4"/>
  <c r="J70" i="4"/>
  <c r="K58" i="4"/>
  <c r="T9" i="4"/>
  <c r="K56" i="4"/>
  <c r="J44" i="4"/>
  <c r="K40" i="4"/>
  <c r="J36" i="4"/>
  <c r="J24" i="4"/>
  <c r="J71" i="4"/>
  <c r="J55" i="4"/>
  <c r="K39" i="4"/>
  <c r="K23" i="4"/>
  <c r="K19" i="4"/>
  <c r="T24" i="4"/>
  <c r="K10" i="4"/>
  <c r="T10" i="4"/>
  <c r="T25" i="4"/>
  <c r="T23" i="4"/>
  <c r="B12" i="2"/>
  <c r="I27" i="1" s="1"/>
  <c r="T21" i="4"/>
  <c r="T20" i="4"/>
  <c r="T19" i="4"/>
  <c r="T11" i="4"/>
  <c r="T32" i="4"/>
  <c r="T31" i="4"/>
  <c r="T17" i="4"/>
  <c r="T16" i="4"/>
  <c r="T15" i="4"/>
  <c r="T29" i="4"/>
  <c r="T28" i="4"/>
  <c r="T27" i="4"/>
  <c r="T13" i="4"/>
  <c r="T30" i="4"/>
  <c r="T26" i="4"/>
  <c r="T22" i="4"/>
  <c r="T18" i="4"/>
  <c r="T14" i="4"/>
  <c r="T12" i="4"/>
  <c r="B8" i="2"/>
  <c r="J10" i="4"/>
  <c r="B13" i="2"/>
  <c r="I26" i="1" s="1"/>
  <c r="J14" i="4" l="1"/>
  <c r="B29" i="5"/>
  <c r="B33" i="5"/>
  <c r="B31" i="5"/>
  <c r="B28" i="5"/>
  <c r="B30" i="5"/>
  <c r="B34" i="5"/>
  <c r="B35" i="5"/>
  <c r="B32" i="5"/>
  <c r="J66" i="4"/>
  <c r="J62" i="4"/>
  <c r="K65" i="4"/>
  <c r="M27" i="1"/>
  <c r="O27" i="1" s="1"/>
  <c r="M26" i="1"/>
  <c r="O26" i="1" s="1"/>
  <c r="K34" i="4"/>
  <c r="K50" i="4"/>
  <c r="J18" i="4"/>
  <c r="J58" i="4"/>
  <c r="J72" i="4"/>
  <c r="K24" i="4"/>
  <c r="K42" i="4"/>
  <c r="J30" i="4"/>
  <c r="J46" i="4"/>
  <c r="K26" i="4"/>
  <c r="S35" i="4"/>
  <c r="U35" i="4" s="1"/>
  <c r="S39" i="4"/>
  <c r="U39" i="4" s="1"/>
  <c r="S43" i="4"/>
  <c r="U43" i="4" s="1"/>
  <c r="S47" i="4"/>
  <c r="U47" i="4" s="1"/>
  <c r="S51" i="4"/>
  <c r="U51" i="4" s="1"/>
  <c r="S55" i="4"/>
  <c r="U55" i="4" s="1"/>
  <c r="S59" i="4"/>
  <c r="U59" i="4" s="1"/>
  <c r="S63" i="4"/>
  <c r="U63" i="4" s="1"/>
  <c r="S67" i="4"/>
  <c r="U67" i="4" s="1"/>
  <c r="S71" i="4"/>
  <c r="U71" i="4" s="1"/>
  <c r="S34" i="4"/>
  <c r="U34" i="4" s="1"/>
  <c r="S38" i="4"/>
  <c r="U38" i="4" s="1"/>
  <c r="S42" i="4"/>
  <c r="U42" i="4" s="1"/>
  <c r="S46" i="4"/>
  <c r="U46" i="4" s="1"/>
  <c r="S50" i="4"/>
  <c r="U50" i="4" s="1"/>
  <c r="S54" i="4"/>
  <c r="U54" i="4" s="1"/>
  <c r="S58" i="4"/>
  <c r="U58" i="4" s="1"/>
  <c r="S62" i="4"/>
  <c r="U62" i="4" s="1"/>
  <c r="S66" i="4"/>
  <c r="U66" i="4" s="1"/>
  <c r="S70" i="4"/>
  <c r="U70" i="4" s="1"/>
  <c r="S37" i="4"/>
  <c r="U37" i="4" s="1"/>
  <c r="S41" i="4"/>
  <c r="U41" i="4" s="1"/>
  <c r="S45" i="4"/>
  <c r="U45" i="4" s="1"/>
  <c r="S49" i="4"/>
  <c r="U49" i="4" s="1"/>
  <c r="S53" i="4"/>
  <c r="U53" i="4" s="1"/>
  <c r="S57" i="4"/>
  <c r="U57" i="4" s="1"/>
  <c r="S61" i="4"/>
  <c r="U61" i="4" s="1"/>
  <c r="S65" i="4"/>
  <c r="U65" i="4" s="1"/>
  <c r="S69" i="4"/>
  <c r="U69" i="4" s="1"/>
  <c r="S36" i="4"/>
  <c r="U36" i="4" s="1"/>
  <c r="S40" i="4"/>
  <c r="U40" i="4" s="1"/>
  <c r="S44" i="4"/>
  <c r="U44" i="4" s="1"/>
  <c r="S48" i="4"/>
  <c r="U48" i="4" s="1"/>
  <c r="S52" i="4"/>
  <c r="U52" i="4" s="1"/>
  <c r="S56" i="4"/>
  <c r="U56" i="4" s="1"/>
  <c r="S60" i="4"/>
  <c r="U60" i="4" s="1"/>
  <c r="S64" i="4"/>
  <c r="U64" i="4" s="1"/>
  <c r="S68" i="4"/>
  <c r="U68" i="4" s="1"/>
  <c r="S72" i="4"/>
  <c r="U72" i="4" s="1"/>
  <c r="S33" i="4"/>
  <c r="U33" i="4" s="1"/>
  <c r="K22" i="4"/>
  <c r="K38" i="4"/>
  <c r="K54" i="4"/>
  <c r="K70" i="4"/>
  <c r="S9" i="4"/>
  <c r="U9" i="4" s="1"/>
  <c r="S12" i="4"/>
  <c r="U12" i="4" s="1"/>
  <c r="J15" i="4"/>
  <c r="J40" i="4"/>
  <c r="J23" i="4"/>
  <c r="J39" i="4"/>
  <c r="K35" i="4"/>
  <c r="J19" i="4"/>
  <c r="K67" i="4"/>
  <c r="J43" i="4"/>
  <c r="F61" i="4"/>
  <c r="E61" i="4"/>
  <c r="F12" i="4"/>
  <c r="E12" i="4"/>
  <c r="F28" i="4"/>
  <c r="E28" i="4"/>
  <c r="F44" i="4"/>
  <c r="E44" i="4"/>
  <c r="F60" i="4"/>
  <c r="E60" i="4"/>
  <c r="F19" i="4"/>
  <c r="E19" i="4"/>
  <c r="F35" i="4"/>
  <c r="E35" i="4"/>
  <c r="F51" i="4"/>
  <c r="E51" i="4"/>
  <c r="F67" i="4"/>
  <c r="E67" i="4"/>
  <c r="F14" i="4"/>
  <c r="E14" i="4"/>
  <c r="F30" i="4"/>
  <c r="E30" i="4"/>
  <c r="F46" i="4"/>
  <c r="E46" i="4"/>
  <c r="F62" i="4"/>
  <c r="E62" i="4"/>
  <c r="F37" i="4"/>
  <c r="E37" i="4"/>
  <c r="F13" i="4"/>
  <c r="E13" i="4"/>
  <c r="F29" i="4"/>
  <c r="E29" i="4"/>
  <c r="F45" i="4"/>
  <c r="E45" i="4"/>
  <c r="F25" i="4"/>
  <c r="E25" i="4"/>
  <c r="F41" i="4"/>
  <c r="E41" i="4"/>
  <c r="F57" i="4"/>
  <c r="E57" i="4"/>
  <c r="F9" i="4"/>
  <c r="E9" i="4"/>
  <c r="F24" i="4"/>
  <c r="E24" i="4"/>
  <c r="F40" i="4"/>
  <c r="E40" i="4"/>
  <c r="F56" i="4"/>
  <c r="E56" i="4"/>
  <c r="F72" i="4"/>
  <c r="E72" i="4"/>
  <c r="F15" i="4"/>
  <c r="E15" i="4"/>
  <c r="F31" i="4"/>
  <c r="E31" i="4"/>
  <c r="F47" i="4"/>
  <c r="E47" i="4"/>
  <c r="F63" i="4"/>
  <c r="E63" i="4"/>
  <c r="F10" i="4"/>
  <c r="E10" i="4"/>
  <c r="F26" i="4"/>
  <c r="E26" i="4"/>
  <c r="F42" i="4"/>
  <c r="E42" i="4"/>
  <c r="F58" i="4"/>
  <c r="E58" i="4"/>
  <c r="F21" i="4"/>
  <c r="E21" i="4"/>
  <c r="F69" i="4"/>
  <c r="E69" i="4"/>
  <c r="F20" i="4"/>
  <c r="E20" i="4"/>
  <c r="F36" i="4"/>
  <c r="E36" i="4"/>
  <c r="F52" i="4"/>
  <c r="E52" i="4"/>
  <c r="F68" i="4"/>
  <c r="E68" i="4"/>
  <c r="F11" i="4"/>
  <c r="E11" i="4"/>
  <c r="F27" i="4"/>
  <c r="E27" i="4"/>
  <c r="F43" i="4"/>
  <c r="E43" i="4"/>
  <c r="F59" i="4"/>
  <c r="E59" i="4"/>
  <c r="F22" i="4"/>
  <c r="E22" i="4"/>
  <c r="F38" i="4"/>
  <c r="E38" i="4"/>
  <c r="F54" i="4"/>
  <c r="E54" i="4"/>
  <c r="F70" i="4"/>
  <c r="E70" i="4"/>
  <c r="F53" i="4"/>
  <c r="E53" i="4"/>
  <c r="F17" i="4"/>
  <c r="E17" i="4"/>
  <c r="F33" i="4"/>
  <c r="E33" i="4"/>
  <c r="F49" i="4"/>
  <c r="E49" i="4"/>
  <c r="F65" i="4"/>
  <c r="E65" i="4"/>
  <c r="F16" i="4"/>
  <c r="E16" i="4"/>
  <c r="F32" i="4"/>
  <c r="E32" i="4"/>
  <c r="F48" i="4"/>
  <c r="E48" i="4"/>
  <c r="F64" i="4"/>
  <c r="E64" i="4"/>
  <c r="F23" i="4"/>
  <c r="E23" i="4"/>
  <c r="F39" i="4"/>
  <c r="E39" i="4"/>
  <c r="F55" i="4"/>
  <c r="E55" i="4"/>
  <c r="F71" i="4"/>
  <c r="E71" i="4"/>
  <c r="F18" i="4"/>
  <c r="E18" i="4"/>
  <c r="F34" i="4"/>
  <c r="E34" i="4"/>
  <c r="F50" i="4"/>
  <c r="E50" i="4"/>
  <c r="F66" i="4"/>
  <c r="E66" i="4"/>
  <c r="K51" i="4"/>
  <c r="K68" i="4"/>
  <c r="J27" i="4"/>
  <c r="J56" i="4"/>
  <c r="K55" i="4"/>
  <c r="K71" i="4"/>
  <c r="K20" i="4"/>
  <c r="K52" i="4"/>
  <c r="K36" i="4"/>
  <c r="K11" i="4"/>
  <c r="J12" i="4"/>
  <c r="K28" i="4"/>
  <c r="K44" i="4"/>
  <c r="K59" i="4"/>
  <c r="K60" i="4"/>
  <c r="J33" i="4"/>
  <c r="J69" i="4"/>
  <c r="K13" i="4"/>
  <c r="J45" i="4"/>
  <c r="J61" i="4"/>
  <c r="K29" i="4"/>
  <c r="K63" i="4"/>
  <c r="K47" i="4"/>
  <c r="J57" i="4"/>
  <c r="J9" i="4"/>
  <c r="J25" i="4"/>
  <c r="K16" i="4"/>
  <c r="K32" i="4"/>
  <c r="K48" i="4"/>
  <c r="K64" i="4"/>
  <c r="K31" i="4"/>
  <c r="K41" i="4"/>
  <c r="K49" i="4"/>
  <c r="K17" i="4"/>
  <c r="K21" i="4"/>
  <c r="K37" i="4"/>
  <c r="K53" i="4"/>
  <c r="B31" i="1"/>
  <c r="L12" i="4"/>
  <c r="L20" i="4"/>
  <c r="L24" i="4"/>
  <c r="L40" i="4"/>
  <c r="L44" i="4"/>
  <c r="L48" i="4"/>
  <c r="L52" i="4"/>
  <c r="L64" i="4"/>
  <c r="L68" i="4"/>
  <c r="L72" i="4"/>
  <c r="L27" i="4"/>
  <c r="L31" i="4"/>
  <c r="L43" i="4"/>
  <c r="L47" i="4"/>
  <c r="L59" i="4"/>
  <c r="L67" i="4"/>
  <c r="L14" i="4"/>
  <c r="L22" i="4"/>
  <c r="L34" i="4"/>
  <c r="L38" i="4"/>
  <c r="L50" i="4"/>
  <c r="L54" i="4"/>
  <c r="L9" i="4"/>
  <c r="L13" i="4"/>
  <c r="L17" i="4"/>
  <c r="L29" i="4"/>
  <c r="L33" i="4"/>
  <c r="L37" i="4"/>
  <c r="L41" i="4"/>
  <c r="L57" i="4"/>
  <c r="L61" i="4"/>
  <c r="L69" i="4"/>
  <c r="S10" i="4"/>
  <c r="U10" i="4" s="1"/>
  <c r="S22" i="4"/>
  <c r="U22" i="4" s="1"/>
  <c r="S24" i="4"/>
  <c r="U24" i="4" s="1"/>
  <c r="S18" i="4"/>
  <c r="U18" i="4" s="1"/>
  <c r="S25" i="4"/>
  <c r="U25" i="4" s="1"/>
  <c r="B14" i="2"/>
  <c r="B20" i="2" s="1"/>
  <c r="S13" i="4"/>
  <c r="U13" i="4" s="1"/>
  <c r="S29" i="4"/>
  <c r="U29" i="4" s="1"/>
  <c r="B15" i="2"/>
  <c r="B21" i="2" s="1"/>
  <c r="S17" i="4"/>
  <c r="U17" i="4" s="1"/>
  <c r="S21" i="4"/>
  <c r="U21" i="4" s="1"/>
  <c r="S19" i="4"/>
  <c r="U19" i="4" s="1"/>
  <c r="S27" i="4"/>
  <c r="U27" i="4" s="1"/>
  <c r="S20" i="4"/>
  <c r="U20" i="4" s="1"/>
  <c r="S30" i="4"/>
  <c r="U30" i="4" s="1"/>
  <c r="S16" i="4"/>
  <c r="U16" i="4" s="1"/>
  <c r="S32" i="4"/>
  <c r="B30" i="1"/>
  <c r="L16" i="4"/>
  <c r="L28" i="4"/>
  <c r="L32" i="4"/>
  <c r="L36" i="4"/>
  <c r="L56" i="4"/>
  <c r="L60" i="4"/>
  <c r="L11" i="4"/>
  <c r="L15" i="4"/>
  <c r="L19" i="4"/>
  <c r="L23" i="4"/>
  <c r="L35" i="4"/>
  <c r="L39" i="4"/>
  <c r="L51" i="4"/>
  <c r="L55" i="4"/>
  <c r="L63" i="4"/>
  <c r="L71" i="4"/>
  <c r="L10" i="4"/>
  <c r="L18" i="4"/>
  <c r="L26" i="4"/>
  <c r="L30" i="4"/>
  <c r="L42" i="4"/>
  <c r="L46" i="4"/>
  <c r="L58" i="4"/>
  <c r="L62" i="4"/>
  <c r="L66" i="4"/>
  <c r="L70" i="4"/>
  <c r="L21" i="4"/>
  <c r="L25" i="4"/>
  <c r="L45" i="4"/>
  <c r="L49" i="4"/>
  <c r="L53" i="4"/>
  <c r="L65" i="4"/>
  <c r="S14" i="4"/>
  <c r="U14" i="4" s="1"/>
  <c r="S28" i="4"/>
  <c r="U28" i="4" s="1"/>
  <c r="S11" i="4"/>
  <c r="U11" i="4" s="1"/>
  <c r="S15" i="4"/>
  <c r="U15" i="4" s="1"/>
  <c r="S23" i="4"/>
  <c r="U23" i="4" s="1"/>
  <c r="S31" i="4"/>
  <c r="U31" i="4" s="1"/>
  <c r="S26" i="4"/>
  <c r="U26" i="4" s="1"/>
  <c r="J26" i="1" l="1"/>
  <c r="E26" i="1" s="1"/>
  <c r="B34" i="1"/>
  <c r="J27" i="1"/>
  <c r="E27" i="1" s="1"/>
  <c r="B35" i="1"/>
  <c r="B33" i="1"/>
  <c r="B49" i="16"/>
  <c r="B38" i="16"/>
  <c r="B48" i="16"/>
  <c r="B39" i="16"/>
  <c r="B69" i="16"/>
  <c r="B59" i="16"/>
  <c r="B58" i="16"/>
  <c r="B68" i="16"/>
  <c r="U32" i="4"/>
  <c r="B32" i="1"/>
  <c r="B22" i="2"/>
  <c r="M12" i="4"/>
  <c r="W12" i="4" s="1"/>
  <c r="X12" i="4" s="1"/>
  <c r="M20" i="4"/>
  <c r="W20" i="4" s="1"/>
  <c r="X20" i="4" s="1"/>
  <c r="M24" i="4"/>
  <c r="M40" i="4"/>
  <c r="W40" i="4" s="1"/>
  <c r="X40" i="4" s="1"/>
  <c r="M44" i="4"/>
  <c r="W44" i="4" s="1"/>
  <c r="X44" i="4" s="1"/>
  <c r="M48" i="4"/>
  <c r="W48" i="4" s="1"/>
  <c r="X48" i="4" s="1"/>
  <c r="M52" i="4"/>
  <c r="M64" i="4"/>
  <c r="M68" i="4"/>
  <c r="W68" i="4" s="1"/>
  <c r="X68" i="4" s="1"/>
  <c r="M72" i="4"/>
  <c r="W72" i="4" s="1"/>
  <c r="X72" i="4" s="1"/>
  <c r="M27" i="4"/>
  <c r="W27" i="4" s="1"/>
  <c r="X27" i="4" s="1"/>
  <c r="M31" i="4"/>
  <c r="W31" i="4" s="1"/>
  <c r="X31" i="4" s="1"/>
  <c r="M43" i="4"/>
  <c r="M47" i="4"/>
  <c r="M59" i="4"/>
  <c r="M67" i="4"/>
  <c r="M14" i="4"/>
  <c r="W14" i="4" s="1"/>
  <c r="X14" i="4" s="1"/>
  <c r="M22" i="4"/>
  <c r="M34" i="4"/>
  <c r="M38" i="4"/>
  <c r="M50" i="4"/>
  <c r="M54" i="4"/>
  <c r="M9" i="4"/>
  <c r="W9" i="4" s="1"/>
  <c r="X9" i="4" s="1"/>
  <c r="M13" i="4"/>
  <c r="W13" i="4" s="1"/>
  <c r="X13" i="4" s="1"/>
  <c r="M17" i="4"/>
  <c r="W17" i="4" s="1"/>
  <c r="X17" i="4" s="1"/>
  <c r="M29" i="4"/>
  <c r="W29" i="4" s="1"/>
  <c r="X29" i="4" s="1"/>
  <c r="M33" i="4"/>
  <c r="M37" i="4"/>
  <c r="M41" i="4"/>
  <c r="W41" i="4" s="1"/>
  <c r="X41" i="4" s="1"/>
  <c r="M57" i="4"/>
  <c r="W57" i="4" s="1"/>
  <c r="X57" i="4" s="1"/>
  <c r="M61" i="4"/>
  <c r="W61" i="4" s="1"/>
  <c r="X61" i="4" s="1"/>
  <c r="M69" i="4"/>
  <c r="W69" i="4" s="1"/>
  <c r="X69" i="4" s="1"/>
  <c r="M16" i="4"/>
  <c r="W16" i="4" s="1"/>
  <c r="X16" i="4" s="1"/>
  <c r="M28" i="4"/>
  <c r="W28" i="4" s="1"/>
  <c r="X28" i="4" s="1"/>
  <c r="M32" i="4"/>
  <c r="M36" i="4"/>
  <c r="W36" i="4" s="1"/>
  <c r="X36" i="4" s="1"/>
  <c r="M56" i="4"/>
  <c r="W56" i="4" s="1"/>
  <c r="X56" i="4" s="1"/>
  <c r="M60" i="4"/>
  <c r="W60" i="4" s="1"/>
  <c r="M11" i="4"/>
  <c r="W11" i="4" s="1"/>
  <c r="X11" i="4" s="1"/>
  <c r="M15" i="4"/>
  <c r="W15" i="4" s="1"/>
  <c r="X15" i="4" s="1"/>
  <c r="M19" i="4"/>
  <c r="W19" i="4" s="1"/>
  <c r="X19" i="4" s="1"/>
  <c r="M23" i="4"/>
  <c r="W23" i="4" s="1"/>
  <c r="X23" i="4" s="1"/>
  <c r="M35" i="4"/>
  <c r="M39" i="4"/>
  <c r="M51" i="4"/>
  <c r="M55" i="4"/>
  <c r="M63" i="4"/>
  <c r="W63" i="4" s="1"/>
  <c r="X63" i="4" s="1"/>
  <c r="M71" i="4"/>
  <c r="W71" i="4" s="1"/>
  <c r="X71" i="4" s="1"/>
  <c r="M10" i="4"/>
  <c r="W10" i="4" s="1"/>
  <c r="X10" i="4" s="1"/>
  <c r="M18" i="4"/>
  <c r="W18" i="4" s="1"/>
  <c r="X18" i="4" s="1"/>
  <c r="M26" i="4"/>
  <c r="W26" i="4" s="1"/>
  <c r="X26" i="4" s="1"/>
  <c r="M30" i="4"/>
  <c r="W30" i="4" s="1"/>
  <c r="X30" i="4" s="1"/>
  <c r="M42" i="4"/>
  <c r="W42" i="4" s="1"/>
  <c r="X42" i="4" s="1"/>
  <c r="M46" i="4"/>
  <c r="M58" i="4"/>
  <c r="M62" i="4"/>
  <c r="M66" i="4"/>
  <c r="W66" i="4" s="1"/>
  <c r="X66" i="4" s="1"/>
  <c r="M70" i="4"/>
  <c r="W70" i="4" s="1"/>
  <c r="X70" i="4" s="1"/>
  <c r="M21" i="4"/>
  <c r="W21" i="4" s="1"/>
  <c r="X21" i="4" s="1"/>
  <c r="M25" i="4"/>
  <c r="W25" i="4" s="1"/>
  <c r="X25" i="4" s="1"/>
  <c r="M45" i="4"/>
  <c r="W45" i="4" s="1"/>
  <c r="X45" i="4" s="1"/>
  <c r="M49" i="4"/>
  <c r="M53" i="4"/>
  <c r="W53" i="4" s="1"/>
  <c r="X53" i="4" s="1"/>
  <c r="M65" i="4"/>
  <c r="X60" i="4" l="1"/>
  <c r="AE60" i="4" s="1"/>
  <c r="Y60" i="4" s="1"/>
  <c r="AE66" i="4"/>
  <c r="Y66" i="4" s="1"/>
  <c r="AC66" i="4"/>
  <c r="AD66" i="4"/>
  <c r="AF66" i="4"/>
  <c r="AE10" i="4"/>
  <c r="AC10" i="4"/>
  <c r="AD10" i="4"/>
  <c r="AF10" i="4"/>
  <c r="AF19" i="4"/>
  <c r="AE19" i="4"/>
  <c r="Y19" i="4" s="1"/>
  <c r="AC19" i="4"/>
  <c r="AD19" i="4"/>
  <c r="AF56" i="4"/>
  <c r="AE56" i="4"/>
  <c r="Y56" i="4" s="1"/>
  <c r="AC56" i="4"/>
  <c r="AD56" i="4"/>
  <c r="AF16" i="4"/>
  <c r="AE16" i="4"/>
  <c r="Y16" i="4" s="1"/>
  <c r="AC16" i="4"/>
  <c r="AD16" i="4"/>
  <c r="AD41" i="4"/>
  <c r="AF41" i="4"/>
  <c r="AE41" i="4"/>
  <c r="Y41" i="4" s="1"/>
  <c r="AC41" i="4"/>
  <c r="AD17" i="4"/>
  <c r="AF17" i="4"/>
  <c r="AE17" i="4"/>
  <c r="Y17" i="4" s="1"/>
  <c r="AC17" i="4"/>
  <c r="AE14" i="4"/>
  <c r="Y14" i="4" s="1"/>
  <c r="AC14" i="4"/>
  <c r="AD14" i="4"/>
  <c r="AF14" i="4"/>
  <c r="AF68" i="4"/>
  <c r="AE68" i="4"/>
  <c r="Y68" i="4" s="1"/>
  <c r="AC68" i="4"/>
  <c r="AD68" i="4"/>
  <c r="AF44" i="4"/>
  <c r="AE44" i="4"/>
  <c r="Y44" i="4" s="1"/>
  <c r="AC44" i="4"/>
  <c r="AD44" i="4"/>
  <c r="AF12" i="4"/>
  <c r="AE12" i="4"/>
  <c r="AC12" i="4"/>
  <c r="AD12" i="4"/>
  <c r="AE42" i="4"/>
  <c r="Y42" i="4" s="1"/>
  <c r="AC42" i="4"/>
  <c r="AD42" i="4"/>
  <c r="AF42" i="4"/>
  <c r="AE30" i="4"/>
  <c r="Y30" i="4" s="1"/>
  <c r="AC30" i="4"/>
  <c r="AD30" i="4"/>
  <c r="AF30" i="4"/>
  <c r="AF71" i="4"/>
  <c r="AE71" i="4"/>
  <c r="Y71" i="4" s="1"/>
  <c r="AC71" i="4"/>
  <c r="AD71" i="4"/>
  <c r="AF15" i="4"/>
  <c r="AE15" i="4"/>
  <c r="Y15" i="4" s="1"/>
  <c r="AC15" i="4"/>
  <c r="AD15" i="4"/>
  <c r="AF36" i="4"/>
  <c r="AE36" i="4"/>
  <c r="Y36" i="4" s="1"/>
  <c r="AC36" i="4"/>
  <c r="AD36" i="4"/>
  <c r="AD69" i="4"/>
  <c r="AF69" i="4"/>
  <c r="AE69" i="4"/>
  <c r="Y69" i="4" s="1"/>
  <c r="AC69" i="4"/>
  <c r="AD13" i="4"/>
  <c r="AF13" i="4"/>
  <c r="AE13" i="4"/>
  <c r="Y13" i="4" s="1"/>
  <c r="AC13" i="4"/>
  <c r="AF31" i="4"/>
  <c r="AE31" i="4"/>
  <c r="Y31" i="4" s="1"/>
  <c r="AC31" i="4"/>
  <c r="AD31" i="4"/>
  <c r="AF40" i="4"/>
  <c r="AE40" i="4"/>
  <c r="Y40" i="4" s="1"/>
  <c r="AC40" i="4"/>
  <c r="AD40" i="4"/>
  <c r="AD45" i="4"/>
  <c r="AF45" i="4"/>
  <c r="AE45" i="4"/>
  <c r="Y45" i="4" s="1"/>
  <c r="AC45" i="4"/>
  <c r="AD25" i="4"/>
  <c r="AF25" i="4"/>
  <c r="AE25" i="4"/>
  <c r="Y25" i="4" s="1"/>
  <c r="AC25" i="4"/>
  <c r="AD53" i="4"/>
  <c r="AF53" i="4"/>
  <c r="AE53" i="4"/>
  <c r="Y53" i="4" s="1"/>
  <c r="AC53" i="4"/>
  <c r="AD21" i="4"/>
  <c r="AF21" i="4"/>
  <c r="AE21" i="4"/>
  <c r="Y21" i="4" s="1"/>
  <c r="AC21" i="4"/>
  <c r="AE26" i="4"/>
  <c r="Y26" i="4" s="1"/>
  <c r="AC26" i="4"/>
  <c r="AD26" i="4"/>
  <c r="AF26" i="4"/>
  <c r="AF63" i="4"/>
  <c r="AE63" i="4"/>
  <c r="Y63" i="4" s="1"/>
  <c r="AC63" i="4"/>
  <c r="AD63" i="4"/>
  <c r="AF11" i="4"/>
  <c r="AE11" i="4"/>
  <c r="AC11" i="4"/>
  <c r="AD11" i="4"/>
  <c r="AD61" i="4"/>
  <c r="AF61" i="4"/>
  <c r="AE61" i="4"/>
  <c r="Y61" i="4" s="1"/>
  <c r="AC61" i="4"/>
  <c r="AF9" i="4"/>
  <c r="AE9" i="4"/>
  <c r="AD9" i="4"/>
  <c r="AF27" i="4"/>
  <c r="AE27" i="4"/>
  <c r="Y27" i="4" s="1"/>
  <c r="AC27" i="4"/>
  <c r="AD27" i="4"/>
  <c r="AE70" i="4"/>
  <c r="Y70" i="4" s="1"/>
  <c r="AC70" i="4"/>
  <c r="AD70" i="4"/>
  <c r="AF70" i="4"/>
  <c r="AE18" i="4"/>
  <c r="Y18" i="4" s="1"/>
  <c r="AC18" i="4"/>
  <c r="AD18" i="4"/>
  <c r="AF18" i="4"/>
  <c r="AF23" i="4"/>
  <c r="AE23" i="4"/>
  <c r="Y23" i="4" s="1"/>
  <c r="AC23" i="4"/>
  <c r="AD23" i="4"/>
  <c r="AF28" i="4"/>
  <c r="AE28" i="4"/>
  <c r="Y28" i="4" s="1"/>
  <c r="AC28" i="4"/>
  <c r="AD28" i="4"/>
  <c r="AD57" i="4"/>
  <c r="AF57" i="4"/>
  <c r="AE57" i="4"/>
  <c r="Y57" i="4" s="1"/>
  <c r="AC57" i="4"/>
  <c r="AD29" i="4"/>
  <c r="AF29" i="4"/>
  <c r="AE29" i="4"/>
  <c r="Y29" i="4" s="1"/>
  <c r="AC29" i="4"/>
  <c r="AF72" i="4"/>
  <c r="AE72" i="4"/>
  <c r="Y72" i="4" s="1"/>
  <c r="AC72" i="4"/>
  <c r="AD72" i="4"/>
  <c r="AF48" i="4"/>
  <c r="AE48" i="4"/>
  <c r="Y48" i="4" s="1"/>
  <c r="AC48" i="4"/>
  <c r="AD48" i="4"/>
  <c r="AF20" i="4"/>
  <c r="AE20" i="4"/>
  <c r="AC20" i="4"/>
  <c r="AD20" i="4"/>
  <c r="AC9" i="4"/>
  <c r="W32" i="4"/>
  <c r="X32" i="4" s="1"/>
  <c r="W59" i="4"/>
  <c r="X59" i="4" s="1"/>
  <c r="W58" i="4"/>
  <c r="X58" i="4" s="1"/>
  <c r="W47" i="4"/>
  <c r="X47" i="4" s="1"/>
  <c r="W34" i="4"/>
  <c r="X34" i="4" s="1"/>
  <c r="W49" i="4"/>
  <c r="X49" i="4" s="1"/>
  <c r="W55" i="4"/>
  <c r="X55" i="4" s="1"/>
  <c r="W37" i="4"/>
  <c r="X37" i="4" s="1"/>
  <c r="W64" i="4"/>
  <c r="X64" i="4" s="1"/>
  <c r="W35" i="4"/>
  <c r="X35" i="4" s="1"/>
  <c r="W67" i="4"/>
  <c r="X67" i="4" s="1"/>
  <c r="W54" i="4"/>
  <c r="X54" i="4" s="1"/>
  <c r="W46" i="4"/>
  <c r="X46" i="4" s="1"/>
  <c r="Z41" i="4"/>
  <c r="AB44" i="4"/>
  <c r="W39" i="4"/>
  <c r="X39" i="4" s="1"/>
  <c r="W62" i="4"/>
  <c r="X62" i="4" s="1"/>
  <c r="W43" i="4"/>
  <c r="W33" i="4"/>
  <c r="X33" i="4" s="1"/>
  <c r="W52" i="4"/>
  <c r="X52" i="4" s="1"/>
  <c r="W51" i="4"/>
  <c r="X51" i="4" s="1"/>
  <c r="W50" i="4"/>
  <c r="W38" i="4"/>
  <c r="X38" i="4" s="1"/>
  <c r="W65" i="4"/>
  <c r="X65" i="4" s="1"/>
  <c r="Z11" i="4"/>
  <c r="Z9" i="4"/>
  <c r="Z13" i="4"/>
  <c r="Z10" i="4"/>
  <c r="Z14" i="4"/>
  <c r="Z12" i="4"/>
  <c r="Z26" i="4"/>
  <c r="Z27" i="4"/>
  <c r="Z28" i="4"/>
  <c r="Z25" i="4"/>
  <c r="AB9" i="4"/>
  <c r="Z53" i="4"/>
  <c r="Z21" i="4"/>
  <c r="Z63" i="4"/>
  <c r="Z30" i="4"/>
  <c r="Z71" i="4"/>
  <c r="Z15" i="4"/>
  <c r="Z36" i="4"/>
  <c r="Z69" i="4"/>
  <c r="Z40" i="4"/>
  <c r="Z42" i="4"/>
  <c r="Z19" i="4"/>
  <c r="Z56" i="4"/>
  <c r="Z16" i="4"/>
  <c r="Z17" i="4"/>
  <c r="Z68" i="4"/>
  <c r="Z45" i="4"/>
  <c r="Z70" i="4"/>
  <c r="Z18" i="4"/>
  <c r="Z23" i="4"/>
  <c r="Z29" i="4"/>
  <c r="Z20" i="4"/>
  <c r="AB21" i="4"/>
  <c r="AB27" i="4"/>
  <c r="AB25" i="4"/>
  <c r="AB30" i="4"/>
  <c r="AB71" i="4"/>
  <c r="AB15" i="4"/>
  <c r="AB36" i="4"/>
  <c r="AB69" i="4"/>
  <c r="AB13" i="4"/>
  <c r="AB40" i="4"/>
  <c r="AB26" i="4"/>
  <c r="AB19" i="4"/>
  <c r="AB56" i="4"/>
  <c r="AB16" i="4"/>
  <c r="AB17" i="4"/>
  <c r="AB14" i="4"/>
  <c r="AB68" i="4"/>
  <c r="AB12" i="4"/>
  <c r="AB53" i="4"/>
  <c r="AB63" i="4"/>
  <c r="AB11" i="4"/>
  <c r="AB45" i="4"/>
  <c r="AB42" i="4"/>
  <c r="AB70" i="4"/>
  <c r="AB18" i="4"/>
  <c r="AB23" i="4"/>
  <c r="AB28" i="4"/>
  <c r="AB29" i="4"/>
  <c r="AB20" i="4"/>
  <c r="W24" i="4"/>
  <c r="X24" i="4" s="1"/>
  <c r="W22" i="4"/>
  <c r="X22" i="4" s="1"/>
  <c r="AF60" i="4" l="1"/>
  <c r="AB60" i="4"/>
  <c r="AD60" i="4"/>
  <c r="Z60" i="4"/>
  <c r="AA60" i="4" s="1"/>
  <c r="AC60" i="4"/>
  <c r="AA12" i="4"/>
  <c r="X50" i="4"/>
  <c r="X43" i="4"/>
  <c r="Y20" i="4"/>
  <c r="AA20" i="4"/>
  <c r="O34" i="5"/>
  <c r="Y9" i="4"/>
  <c r="Y11" i="4"/>
  <c r="Y12" i="4"/>
  <c r="P28" i="5"/>
  <c r="Y10" i="4"/>
  <c r="AA16" i="4"/>
  <c r="AA17" i="4"/>
  <c r="AA14" i="4"/>
  <c r="AF24" i="4"/>
  <c r="AE24" i="4"/>
  <c r="AC24" i="4"/>
  <c r="AD24" i="4"/>
  <c r="AF35" i="4"/>
  <c r="AE35" i="4"/>
  <c r="Y35" i="4" s="1"/>
  <c r="AC35" i="4"/>
  <c r="AD35" i="4"/>
  <c r="AD49" i="4"/>
  <c r="AF49" i="4"/>
  <c r="AE49" i="4"/>
  <c r="Y49" i="4" s="1"/>
  <c r="AC49" i="4"/>
  <c r="AF59" i="4"/>
  <c r="AE59" i="4"/>
  <c r="Y59" i="4" s="1"/>
  <c r="AC59" i="4"/>
  <c r="AD59" i="4"/>
  <c r="AF51" i="4"/>
  <c r="AE51" i="4"/>
  <c r="Y51" i="4" s="1"/>
  <c r="AC51" i="4"/>
  <c r="AD51" i="4"/>
  <c r="AE62" i="4"/>
  <c r="Y62" i="4" s="1"/>
  <c r="AC62" i="4"/>
  <c r="AD62" i="4"/>
  <c r="AF62" i="4"/>
  <c r="AE46" i="4"/>
  <c r="Y46" i="4" s="1"/>
  <c r="AC46" i="4"/>
  <c r="AD46" i="4"/>
  <c r="AF46" i="4"/>
  <c r="AF64" i="4"/>
  <c r="AE64" i="4"/>
  <c r="Y64" i="4" s="1"/>
  <c r="AC64" i="4"/>
  <c r="AD64" i="4"/>
  <c r="AE34" i="4"/>
  <c r="Y34" i="4" s="1"/>
  <c r="AC34" i="4"/>
  <c r="AD34" i="4"/>
  <c r="AF34" i="4"/>
  <c r="AF32" i="4"/>
  <c r="AE32" i="4"/>
  <c r="AC32" i="4"/>
  <c r="AD32" i="4"/>
  <c r="AD65" i="4"/>
  <c r="AF65" i="4"/>
  <c r="AE65" i="4"/>
  <c r="Y65" i="4" s="1"/>
  <c r="AC65" i="4"/>
  <c r="AF52" i="4"/>
  <c r="AE52" i="4"/>
  <c r="Y52" i="4" s="1"/>
  <c r="AC52" i="4"/>
  <c r="AD52" i="4"/>
  <c r="AF39" i="4"/>
  <c r="AE39" i="4"/>
  <c r="Y39" i="4" s="1"/>
  <c r="AC39" i="4"/>
  <c r="R29" i="5" s="1"/>
  <c r="AD39" i="4"/>
  <c r="AE54" i="4"/>
  <c r="Y54" i="4" s="1"/>
  <c r="AC54" i="4"/>
  <c r="AD54" i="4"/>
  <c r="AF54" i="4"/>
  <c r="AD37" i="4"/>
  <c r="AF37" i="4"/>
  <c r="AE37" i="4"/>
  <c r="Y37" i="4" s="1"/>
  <c r="AC37" i="4"/>
  <c r="R31" i="5" s="1"/>
  <c r="AF47" i="4"/>
  <c r="AE47" i="4"/>
  <c r="Y47" i="4" s="1"/>
  <c r="AC47" i="4"/>
  <c r="AD47" i="4"/>
  <c r="AE22" i="4"/>
  <c r="AC22" i="4"/>
  <c r="AD22" i="4"/>
  <c r="AF22" i="4"/>
  <c r="AE38" i="4"/>
  <c r="Y38" i="4" s="1"/>
  <c r="AC38" i="4"/>
  <c r="AD38" i="4"/>
  <c r="AF38" i="4"/>
  <c r="AD33" i="4"/>
  <c r="AF33" i="4"/>
  <c r="AE33" i="4"/>
  <c r="Y33" i="4" s="1"/>
  <c r="AC33" i="4"/>
  <c r="Q35" i="5" s="1"/>
  <c r="AF67" i="4"/>
  <c r="AE67" i="4"/>
  <c r="Y67" i="4" s="1"/>
  <c r="AC67" i="4"/>
  <c r="AD67" i="4"/>
  <c r="AF55" i="4"/>
  <c r="AE55" i="4"/>
  <c r="Y55" i="4" s="1"/>
  <c r="AC55" i="4"/>
  <c r="M34" i="5" s="1"/>
  <c r="AD55" i="4"/>
  <c r="AE58" i="4"/>
  <c r="Y58" i="4" s="1"/>
  <c r="AC58" i="4"/>
  <c r="AD58" i="4"/>
  <c r="AF58" i="4"/>
  <c r="AB39" i="4"/>
  <c r="Z52" i="4"/>
  <c r="AB52" i="4"/>
  <c r="AB51" i="4"/>
  <c r="Z51" i="4"/>
  <c r="Z62" i="4"/>
  <c r="AB62" i="4"/>
  <c r="AB46" i="4"/>
  <c r="Z46" i="4"/>
  <c r="AB54" i="4"/>
  <c r="Z54" i="4"/>
  <c r="Z37" i="4"/>
  <c r="AB37" i="4"/>
  <c r="Z34" i="4"/>
  <c r="AB34" i="4"/>
  <c r="Z55" i="4"/>
  <c r="AB55" i="4"/>
  <c r="Z64" i="4"/>
  <c r="AB64" i="4"/>
  <c r="AB49" i="4"/>
  <c r="Z49" i="4"/>
  <c r="AB59" i="4"/>
  <c r="Z59" i="4"/>
  <c r="Z65" i="4"/>
  <c r="AB65" i="4"/>
  <c r="Z67" i="4"/>
  <c r="AB67" i="4"/>
  <c r="Z38" i="4"/>
  <c r="AB38" i="4"/>
  <c r="Z33" i="4"/>
  <c r="AB33" i="4"/>
  <c r="Z35" i="4"/>
  <c r="AB35" i="4"/>
  <c r="AB58" i="4"/>
  <c r="Z58" i="4"/>
  <c r="Z66" i="4"/>
  <c r="AA66" i="4" s="1"/>
  <c r="AB47" i="4"/>
  <c r="AB57" i="4"/>
  <c r="AB66" i="4"/>
  <c r="Z47" i="4"/>
  <c r="Z44" i="4"/>
  <c r="AA44" i="4" s="1"/>
  <c r="Z39" i="4"/>
  <c r="AA41" i="4"/>
  <c r="AA45" i="4"/>
  <c r="AA71" i="4"/>
  <c r="AB41" i="4"/>
  <c r="Z57" i="4"/>
  <c r="AA57" i="4" s="1"/>
  <c r="AA56" i="4"/>
  <c r="AA42" i="4"/>
  <c r="AA36" i="4"/>
  <c r="AA63" i="4"/>
  <c r="AA21" i="4"/>
  <c r="AA29" i="4"/>
  <c r="AA28" i="4"/>
  <c r="AA30" i="4"/>
  <c r="AA23" i="4"/>
  <c r="AA70" i="4"/>
  <c r="AA69" i="4"/>
  <c r="AA53" i="4"/>
  <c r="AA68" i="4"/>
  <c r="AA19" i="4"/>
  <c r="AA40" i="4"/>
  <c r="AA13" i="4"/>
  <c r="AA11" i="4"/>
  <c r="AA18" i="4"/>
  <c r="AA15" i="4"/>
  <c r="AA9" i="4"/>
  <c r="AB31" i="4"/>
  <c r="AA10" i="4"/>
  <c r="AA27" i="4"/>
  <c r="AA26" i="4"/>
  <c r="AA25" i="4"/>
  <c r="Z31" i="4"/>
  <c r="AB32" i="4"/>
  <c r="Z32" i="4"/>
  <c r="Z22" i="4"/>
  <c r="Z72" i="4"/>
  <c r="Z61" i="4"/>
  <c r="Z24" i="4"/>
  <c r="Z48" i="4"/>
  <c r="AB10" i="4"/>
  <c r="AB24" i="4"/>
  <c r="AB22" i="4"/>
  <c r="AB72" i="4"/>
  <c r="AB48" i="4"/>
  <c r="AB61" i="4"/>
  <c r="AD50" i="4" l="1"/>
  <c r="AD43" i="4"/>
  <c r="AC50" i="4"/>
  <c r="Q33" i="5" s="1"/>
  <c r="AB50" i="4"/>
  <c r="R33" i="5"/>
  <c r="K28" i="5"/>
  <c r="P32" i="5"/>
  <c r="AA38" i="4"/>
  <c r="AC43" i="4"/>
  <c r="P29" i="5" s="1"/>
  <c r="AE50" i="4"/>
  <c r="Y50" i="4" s="1"/>
  <c r="C58" i="16"/>
  <c r="AF50" i="4"/>
  <c r="F28" i="5" s="1"/>
  <c r="Z43" i="4"/>
  <c r="AE43" i="4"/>
  <c r="AB43" i="4"/>
  <c r="C8" i="5"/>
  <c r="AF43" i="4"/>
  <c r="F29" i="5" s="1"/>
  <c r="B57" i="16"/>
  <c r="B13" i="16"/>
  <c r="C39" i="16"/>
  <c r="B37" i="16"/>
  <c r="Z50" i="4"/>
  <c r="R28" i="5"/>
  <c r="L28" i="5"/>
  <c r="O30" i="5"/>
  <c r="K35" i="5"/>
  <c r="O29" i="5"/>
  <c r="Q32" i="5"/>
  <c r="P31" i="5"/>
  <c r="G29" i="5"/>
  <c r="P34" i="5"/>
  <c r="M33" i="5"/>
  <c r="O33" i="5"/>
  <c r="Q30" i="5"/>
  <c r="L32" i="5"/>
  <c r="O35" i="5"/>
  <c r="M29" i="5"/>
  <c r="P30" i="5"/>
  <c r="Q29" i="5"/>
  <c r="G49" i="16"/>
  <c r="G69" i="16"/>
  <c r="Y22" i="4"/>
  <c r="E49" i="16"/>
  <c r="G68" i="16"/>
  <c r="Y32" i="4"/>
  <c r="G48" i="16"/>
  <c r="Y24" i="4"/>
  <c r="E48" i="16"/>
  <c r="N30" i="5"/>
  <c r="K32" i="5"/>
  <c r="R32" i="5"/>
  <c r="N31" i="5"/>
  <c r="K30" i="5"/>
  <c r="Q28" i="5"/>
  <c r="M31" i="5"/>
  <c r="Q34" i="5"/>
  <c r="M32" i="5"/>
  <c r="N32" i="5"/>
  <c r="M35" i="5"/>
  <c r="L35" i="5"/>
  <c r="F30" i="5"/>
  <c r="L33" i="5"/>
  <c r="P35" i="5"/>
  <c r="N35" i="5"/>
  <c r="M28" i="5"/>
  <c r="O31" i="5"/>
  <c r="K31" i="5"/>
  <c r="R30" i="5"/>
  <c r="L30" i="5"/>
  <c r="P33" i="5"/>
  <c r="N33" i="5"/>
  <c r="K33" i="5"/>
  <c r="N28" i="5"/>
  <c r="L29" i="5"/>
  <c r="K34" i="5"/>
  <c r="M30" i="5"/>
  <c r="O28" i="5"/>
  <c r="R34" i="5"/>
  <c r="N34" i="5"/>
  <c r="L34" i="5"/>
  <c r="O32" i="5"/>
  <c r="G31" i="5"/>
  <c r="G33" i="5"/>
  <c r="G30" i="5"/>
  <c r="AA46" i="4"/>
  <c r="AA34" i="4"/>
  <c r="AA62" i="4"/>
  <c r="F31" i="5"/>
  <c r="AA54" i="4"/>
  <c r="AA50" i="4"/>
  <c r="AA49" i="4"/>
  <c r="AA33" i="4"/>
  <c r="G34" i="5"/>
  <c r="AA58" i="4"/>
  <c r="AA37" i="4"/>
  <c r="AA55" i="4"/>
  <c r="AA67" i="4"/>
  <c r="E32" i="5"/>
  <c r="AA39" i="4"/>
  <c r="AA52" i="4"/>
  <c r="F32" i="5"/>
  <c r="AA64" i="4"/>
  <c r="AA51" i="4"/>
  <c r="AA59" i="4"/>
  <c r="AA35" i="4"/>
  <c r="AA47" i="4"/>
  <c r="G35" i="5"/>
  <c r="G28" i="5"/>
  <c r="F35" i="5"/>
  <c r="F34" i="5"/>
  <c r="G32" i="5"/>
  <c r="AA65" i="4"/>
  <c r="E34" i="5"/>
  <c r="AA32" i="4"/>
  <c r="AA48" i="4"/>
  <c r="AA61" i="4"/>
  <c r="AA24" i="4"/>
  <c r="AA31" i="4"/>
  <c r="AA72" i="4"/>
  <c r="AA22" i="4"/>
  <c r="E31" i="5"/>
  <c r="E33" i="5"/>
  <c r="E28" i="5"/>
  <c r="E35" i="5"/>
  <c r="E29" i="5"/>
  <c r="E30" i="5"/>
  <c r="R35" i="5" l="1"/>
  <c r="C35" i="5"/>
  <c r="S35" i="5" s="1"/>
  <c r="E68" i="16"/>
  <c r="F69" i="16"/>
  <c r="C13" i="16"/>
  <c r="C30" i="5"/>
  <c r="S30" i="5" s="1"/>
  <c r="H17" i="14" s="1"/>
  <c r="N29" i="5"/>
  <c r="C28" i="5"/>
  <c r="S28" i="5" s="1"/>
  <c r="E10" i="14" s="1"/>
  <c r="C29" i="5"/>
  <c r="S29" i="5" s="1"/>
  <c r="G13" i="14" s="1"/>
  <c r="K29" i="5"/>
  <c r="C38" i="16"/>
  <c r="C59" i="16"/>
  <c r="B27" i="16"/>
  <c r="C9" i="5"/>
  <c r="B15" i="16"/>
  <c r="C17" i="5"/>
  <c r="C31" i="5"/>
  <c r="S31" i="5" s="1"/>
  <c r="G22" i="14" s="1"/>
  <c r="C32" i="5"/>
  <c r="S32" i="5" s="1"/>
  <c r="E25" i="14" s="1"/>
  <c r="B26" i="16"/>
  <c r="C57" i="16"/>
  <c r="C33" i="5"/>
  <c r="S33" i="5" s="1"/>
  <c r="C34" i="5"/>
  <c r="S34" i="5" s="1"/>
  <c r="B17" i="14" s="1"/>
  <c r="C37" i="16"/>
  <c r="B14" i="16"/>
  <c r="L31" i="5"/>
  <c r="Q31" i="5"/>
  <c r="F68" i="16"/>
  <c r="C68" i="16" s="1"/>
  <c r="F33" i="5"/>
  <c r="F28" i="16" s="1"/>
  <c r="Y43" i="4"/>
  <c r="C18" i="5" s="1"/>
  <c r="C16" i="5"/>
  <c r="F49" i="16"/>
  <c r="C49" i="16" s="1"/>
  <c r="AA43" i="4"/>
  <c r="E69" i="16"/>
  <c r="F48" i="16"/>
  <c r="C48" i="16" s="1"/>
  <c r="B28" i="16"/>
  <c r="B29" i="16"/>
  <c r="B16" i="16"/>
  <c r="B17" i="16"/>
  <c r="G28" i="16"/>
  <c r="G27" i="16"/>
  <c r="G26" i="16"/>
  <c r="E27" i="16"/>
  <c r="E26" i="16"/>
  <c r="E28" i="16"/>
  <c r="G29" i="16"/>
  <c r="E29" i="16"/>
  <c r="F27" i="16"/>
  <c r="F26" i="16"/>
  <c r="C22" i="14" l="1"/>
  <c r="C13" i="14"/>
  <c r="C69" i="16"/>
  <c r="C17" i="16"/>
  <c r="C29" i="16"/>
  <c r="C20" i="5"/>
  <c r="C14" i="16"/>
  <c r="C15" i="16"/>
  <c r="C26" i="16"/>
  <c r="C27" i="16"/>
  <c r="C28" i="16"/>
  <c r="C16" i="16"/>
  <c r="F29" i="16"/>
  <c r="C19" i="5"/>
</calcChain>
</file>

<file path=xl/sharedStrings.xml><?xml version="1.0" encoding="utf-8"?>
<sst xmlns="http://schemas.openxmlformats.org/spreadsheetml/2006/main" count="1768" uniqueCount="219">
  <si>
    <t>Instructions d'utilisation du fichier</t>
  </si>
  <si>
    <t>Caractérisation de la pièce</t>
  </si>
  <si>
    <t>Emplacement</t>
  </si>
  <si>
    <t>Numéro de local</t>
  </si>
  <si>
    <t>Date de la caractérisation</t>
  </si>
  <si>
    <t>Personne qui a réalisé la caractérisation</t>
  </si>
  <si>
    <t>Coordonnée horizontale (x) (cm)</t>
  </si>
  <si>
    <t>Coordonnée verticale (y) (cm)</t>
  </si>
  <si>
    <t>Haut-parleur gauche</t>
  </si>
  <si>
    <t>HG1</t>
  </si>
  <si>
    <t>HG2</t>
  </si>
  <si>
    <t>Haut-parleur droit</t>
  </si>
  <si>
    <t>HD1</t>
  </si>
  <si>
    <t>HD2</t>
  </si>
  <si>
    <t>Position de l'usager</t>
  </si>
  <si>
    <t>P</t>
  </si>
  <si>
    <t>Dimensions de la pièce</t>
  </si>
  <si>
    <t>D</t>
  </si>
  <si>
    <t>Taille de la plus petite unité sur le carton gradué (cm)</t>
  </si>
  <si>
    <t>VALIDATION DES MESURES DE LA PIÈCE</t>
  </si>
  <si>
    <t>* Voir la procédure dans l'onglet "Instructions"</t>
  </si>
  <si>
    <t>* L'erreur angulaire (degrés) pour les deux HP doit être le plus près de 0 possible</t>
  </si>
  <si>
    <t>(valeur suggérée en deçà de 0,5 degrés)</t>
  </si>
  <si>
    <t>HP émetteur</t>
  </si>
  <si>
    <t>Valeur sur l'échelle</t>
  </si>
  <si>
    <t>Échelle graduée 
(X ou Y)</t>
  </si>
  <si>
    <t>No. Du laser
(N,E, S,O)</t>
  </si>
  <si>
    <t>Erreur angulaire</t>
  </si>
  <si>
    <t>*HGx ou HDx</t>
  </si>
  <si>
    <t>*HGy ou HDy</t>
  </si>
  <si>
    <t>*Dist avec l'usager (HG_C ou HD_C)</t>
  </si>
  <si>
    <t>*Angle HG/HD_C_Cy0</t>
  </si>
  <si>
    <t>*Px</t>
  </si>
  <si>
    <t>*Py</t>
  </si>
  <si>
    <t>*Dist Cy0_P</t>
  </si>
  <si>
    <t>*Dist C_P</t>
  </si>
  <si>
    <t>*Angle P_C_Cy0</t>
  </si>
  <si>
    <t>*Modificateur d'angle</t>
  </si>
  <si>
    <t>N</t>
  </si>
  <si>
    <t>G</t>
  </si>
  <si>
    <t>E</t>
  </si>
  <si>
    <t>CARACTÉRISTIQUES DE LA PIÈCE</t>
  </si>
  <si>
    <t>Distance entre l'usager et le HG (cm)</t>
  </si>
  <si>
    <t>Distance entre l'usager et le HD (cm)</t>
  </si>
  <si>
    <t>Différence entre les distances P-HG et P-HD (cm)</t>
  </si>
  <si>
    <t>Angle entre l'usager et le HP_G (deg)</t>
  </si>
  <si>
    <t>Angle entre l'usager et le HP_D (deg)</t>
  </si>
  <si>
    <t>Angle entre les deux HP (deg)</t>
  </si>
  <si>
    <t>Identification de l'usager</t>
  </si>
  <si>
    <t>Nom</t>
  </si>
  <si>
    <t>Date de naissance 
(AAAA-MM-JJ)</t>
  </si>
  <si>
    <t>Âge</t>
  </si>
  <si>
    <t>Sexe</t>
  </si>
  <si>
    <t>Date du test</t>
  </si>
  <si>
    <t>Commentaires (appareillage auditif, programmes utilisés, etc.)</t>
  </si>
  <si>
    <t>Séquence de test choisie (1 à 6)</t>
  </si>
  <si>
    <t>Entrée de données</t>
  </si>
  <si>
    <t>Signal</t>
  </si>
  <si>
    <t>Réponse du client</t>
  </si>
  <si>
    <t>Résultats</t>
  </si>
  <si>
    <t>Analyse</t>
  </si>
  <si>
    <t>No.</t>
  </si>
  <si>
    <t>*No unique</t>
  </si>
  <si>
    <t>0° client</t>
  </si>
  <si>
    <t>Intensité dB HL et pavé</t>
  </si>
  <si>
    <t>*Intensité</t>
  </si>
  <si>
    <t>*Pavé</t>
  </si>
  <si>
    <t>Dépl. / Angle et Oreille</t>
  </si>
  <si>
    <t>Oreille</t>
  </si>
  <si>
    <t>Valeur sur l'échelle en X ou Y</t>
  </si>
  <si>
    <t>Échelle graduée (X ou Y)</t>
  </si>
  <si>
    <t>No. Du laser (N,E, S,O)</t>
  </si>
  <si>
    <t>*Erreur angulaire temp</t>
  </si>
  <si>
    <t>Réponse angulaire (degrés)</t>
  </si>
  <si>
    <t>Commentaire</t>
  </si>
  <si>
    <t>Réussite</t>
  </si>
  <si>
    <t>Erreur intra-quadrant</t>
  </si>
  <si>
    <t>Erreur - Conf Av/Arr</t>
  </si>
  <si>
    <t>Erreur - Conf G/D</t>
  </si>
  <si>
    <t>Commentaires de l'expérimentateur</t>
  </si>
  <si>
    <t>y</t>
  </si>
  <si>
    <t>Analyse des données</t>
  </si>
  <si>
    <t>Données normatives</t>
  </si>
  <si>
    <t>Résultat de l'usager</t>
  </si>
  <si>
    <t>10e percentile</t>
  </si>
  <si>
    <t>90e percentile</t>
  </si>
  <si>
    <t>Nombre d'essais</t>
  </si>
  <si>
    <t xml:space="preserve">Taux de bonnes réponses </t>
  </si>
  <si>
    <t xml:space="preserve">Données normatives * </t>
  </si>
  <si>
    <t>* Valeur absolue de la moyenne +  2 écarts-type (degrés)</t>
  </si>
  <si>
    <t>Nombre d'erreurs selon la provenance du son</t>
  </si>
  <si>
    <t>TOTAL</t>
  </si>
  <si>
    <t>Type d'erreur</t>
  </si>
  <si>
    <t>INTENSITÉ</t>
  </si>
  <si>
    <t>PAVÉ</t>
  </si>
  <si>
    <t>INTENSITÉ ET PAVÉ</t>
  </si>
  <si>
    <t>Nb. Erreurs - Total</t>
  </si>
  <si>
    <t>Nb. Erreurs -CAA</t>
  </si>
  <si>
    <t>Nb. Erreurs -CGD</t>
  </si>
  <si>
    <t>Nb. Erreurs - Intraquad.</t>
  </si>
  <si>
    <t>% bonnes réponses - 65dB</t>
  </si>
  <si>
    <t>% bonnes réponses - 50dB</t>
  </si>
  <si>
    <t>% bonnes réponses - S</t>
  </si>
  <si>
    <t>% bonnes réponses - M</t>
  </si>
  <si>
    <t>% bonnes réponses - 65, S</t>
  </si>
  <si>
    <t>% bonnes réponses - 65, M</t>
  </si>
  <si>
    <t>% bonnes réponses - 50, S</t>
  </si>
  <si>
    <t>% bonnes réponses - 50, M</t>
  </si>
  <si>
    <t>0°</t>
  </si>
  <si>
    <t>45°D</t>
  </si>
  <si>
    <t>90°D</t>
  </si>
  <si>
    <t>45arr°D</t>
  </si>
  <si>
    <t>180°</t>
  </si>
  <si>
    <t>45arr°G</t>
  </si>
  <si>
    <t>90°G</t>
  </si>
  <si>
    <t>45°G</t>
  </si>
  <si>
    <t>Analyse supplémentaire</t>
  </si>
  <si>
    <t>Taux de bonne réponse</t>
  </si>
  <si>
    <t>50e percentile</t>
  </si>
  <si>
    <t>GLOBAL</t>
  </si>
  <si>
    <t>Hémichamp avant</t>
  </si>
  <si>
    <t>Hémichamp droit</t>
  </si>
  <si>
    <t>Hémichamp gauche</t>
  </si>
  <si>
    <t>Hémichamp arrière</t>
  </si>
  <si>
    <t>Taux de bonne réponse - Total</t>
  </si>
  <si>
    <t>Global</t>
  </si>
  <si>
    <t>N.Erreurs - Total</t>
  </si>
  <si>
    <t>S</t>
  </si>
  <si>
    <t>M</t>
  </si>
  <si>
    <t>Graphique d'analyse</t>
  </si>
  <si>
    <t>Inscrire dans le menu déroulant ci-bas le paramètre à observer</t>
  </si>
  <si>
    <t>Confusions / Erreurs</t>
  </si>
  <si>
    <t>Erreur intra-quadrants
Plus petit/grand</t>
  </si>
  <si>
    <t>Erreur avant-arrière
(Plus petit/grand ou égal)</t>
  </si>
  <si>
    <t>Confusion gauche-droite
(Plus petit/grand ou égal)</t>
  </si>
  <si>
    <t>Entre</t>
  </si>
  <si>
    <t>et</t>
  </si>
  <si>
    <t>&gt;=</t>
  </si>
  <si>
    <t>&lt;</t>
  </si>
  <si>
    <t>&gt;</t>
  </si>
  <si>
    <t>&lt;=</t>
  </si>
  <si>
    <t>Calculs</t>
  </si>
  <si>
    <t>Coordonnées</t>
  </si>
  <si>
    <t>x</t>
  </si>
  <si>
    <t>HG</t>
  </si>
  <si>
    <t>Centre Haut parleur gauche</t>
  </si>
  <si>
    <t>HD</t>
  </si>
  <si>
    <t>Centre Haut parleur droit</t>
  </si>
  <si>
    <t>C</t>
  </si>
  <si>
    <t>Position de l'utilisateur</t>
  </si>
  <si>
    <t>Cy0</t>
  </si>
  <si>
    <t>Point sur le mur devant l'utilisateur</t>
  </si>
  <si>
    <t>Distances</t>
  </si>
  <si>
    <t>Dist</t>
  </si>
  <si>
    <t>C _ HG</t>
  </si>
  <si>
    <t>Distance entre l'utilisateur et HG</t>
  </si>
  <si>
    <t>C _ HD</t>
  </si>
  <si>
    <t>Distance entre l'utilisateur et HD</t>
  </si>
  <si>
    <t>HG_Cy0</t>
  </si>
  <si>
    <t>Distance entre le HG et le point Cy0</t>
  </si>
  <si>
    <t>HD_Cy0</t>
  </si>
  <si>
    <t>Distance entre le HD et le point Cy0</t>
  </si>
  <si>
    <t>C_Cy0</t>
  </si>
  <si>
    <t>Distance entre l'utilisateur et Py0</t>
  </si>
  <si>
    <t>Angles</t>
  </si>
  <si>
    <t>C _ HG _ Cy0</t>
  </si>
  <si>
    <t>C _ HD _ Cy0</t>
  </si>
  <si>
    <t>C_HG_HD</t>
  </si>
  <si>
    <t>Calibration du casque laser</t>
  </si>
  <si>
    <t>Nom du laser</t>
  </si>
  <si>
    <t>Corr. Angle</t>
  </si>
  <si>
    <t>Commentaires</t>
  </si>
  <si>
    <t>Cette valeur doit être autour de -90 degrés</t>
  </si>
  <si>
    <t>Cette valeur doit être autour de -180 degrés</t>
  </si>
  <si>
    <t>O</t>
  </si>
  <si>
    <t>Cette valeur doit être autour de 90 degrés</t>
  </si>
  <si>
    <t>Séquences de tests</t>
  </si>
  <si>
    <t>pr a la source</t>
  </si>
  <si>
    <t>Séquence</t>
  </si>
  <si>
    <t>No unique</t>
  </si>
  <si>
    <t>Intensité dB HL et type de pavé</t>
  </si>
  <si>
    <t>Angle évalué</t>
  </si>
  <si>
    <t>Angle et oreille</t>
  </si>
  <si>
    <t>45 deg arr = 135 pr a la source</t>
  </si>
  <si>
    <t>65, S</t>
  </si>
  <si>
    <t>45</t>
  </si>
  <si>
    <t>90</t>
  </si>
  <si>
    <t>50, M</t>
  </si>
  <si>
    <t>50, S</t>
  </si>
  <si>
    <t>180</t>
  </si>
  <si>
    <t>45arr</t>
  </si>
  <si>
    <t>65, M</t>
  </si>
  <si>
    <t>0</t>
  </si>
  <si>
    <t>de la donnée normative</t>
  </si>
  <si>
    <t>±</t>
  </si>
  <si>
    <t>Fichier élaboré par Jean-François Bernard, dans le cadre du projet "Protocole d'évaluation de la localisation</t>
  </si>
  <si>
    <t>Réponse angulaire sans CAA</t>
  </si>
  <si>
    <t>Réponse angulaire (abs)</t>
  </si>
  <si>
    <t>Réponse angulaire (abs) sans CAA</t>
  </si>
  <si>
    <t>PRISE DE MESURES DE LA PIÈCE</t>
  </si>
  <si>
    <t>* Cette donnée ne doit pas être modifiée pour que les normes soient valides</t>
  </si>
  <si>
    <t>Critère d'acceptabilité pour une bonne réponse (degrés)*</t>
  </si>
  <si>
    <t>N.Erreurs - 
Total</t>
  </si>
  <si>
    <t>ANALYSE SELON LES HÉMICHAMPS</t>
  </si>
  <si>
    <t>Taux de bonnes réponses</t>
  </si>
  <si>
    <t>Nombre d'erreurs</t>
  </si>
  <si>
    <t>ANALYSE SELON L'INTENSITÉ DU SIGNAL</t>
  </si>
  <si>
    <t>auditive adapté à la clientèle présentant une surdicécité: version simplifiée 2" - Montréal 2023</t>
  </si>
  <si>
    <r>
      <t xml:space="preserve">Erreur constante 
</t>
    </r>
    <r>
      <rPr>
        <sz val="11"/>
        <color theme="1"/>
        <rFont val="Calibri"/>
        <family val="2"/>
        <scheme val="minor"/>
      </rPr>
      <t>(en degrés, excluant les confusions avant-arrière)</t>
    </r>
  </si>
  <si>
    <r>
      <t xml:space="preserve">Erreur absolue 
</t>
    </r>
    <r>
      <rPr>
        <sz val="11"/>
        <color theme="1"/>
        <rFont val="Calibri"/>
        <family val="2"/>
        <scheme val="minor"/>
      </rPr>
      <t>(en degrés, excluant les confusions avant-arrière)</t>
    </r>
  </si>
  <si>
    <r>
      <t xml:space="preserve">Erreur variable
</t>
    </r>
    <r>
      <rPr>
        <sz val="11"/>
        <color theme="1"/>
        <rFont val="Calibri"/>
        <family val="2"/>
        <scheme val="minor"/>
      </rPr>
      <t>(en degrés, excluant les confusions avant-arrière)</t>
    </r>
  </si>
  <si>
    <r>
      <t xml:space="preserve">Valeur min
</t>
    </r>
    <r>
      <rPr>
        <sz val="11"/>
        <color theme="1"/>
        <rFont val="Calibri"/>
        <family val="2"/>
        <scheme val="minor"/>
      </rPr>
      <t>(en degrés, excluant les confusions avant-arrière)</t>
    </r>
  </si>
  <si>
    <r>
      <t xml:space="preserve">Valeur max
</t>
    </r>
    <r>
      <rPr>
        <sz val="11"/>
        <color theme="1"/>
        <rFont val="Calibri"/>
        <family val="2"/>
        <scheme val="minor"/>
      </rPr>
      <t>(en degrés, excluant les confusions avant-arrière)</t>
    </r>
  </si>
  <si>
    <t>Type d'erreur*</t>
  </si>
  <si>
    <t>ANALYSE SELON LE TYPE DE SIGNAL (PAVÉ SEC -S- OU MOUILLÉ -M-)</t>
  </si>
  <si>
    <t>* Analyser ces données lorsque le % de bonnes réponses totales est inférieur au 50e percentile</t>
  </si>
  <si>
    <t>* CAA: Confusion avant-arrière ; CGD: Confusion gauche-droite; Intraquad.: Intra-quadrant</t>
  </si>
  <si>
    <t>Emplacement des cartons (Gauche ou Droite)</t>
  </si>
  <si>
    <t>% bonnes réponses -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</si>
</sst>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theme="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6E6E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1" xfId="0" applyBorder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 applyAlignment="1">
      <alignment wrapText="1"/>
    </xf>
    <xf numFmtId="0" fontId="0" fillId="0" borderId="4" xfId="0" applyBorder="1"/>
    <xf numFmtId="0" fontId="0" fillId="0" borderId="6" xfId="0" applyBorder="1"/>
    <xf numFmtId="0" fontId="3" fillId="0" borderId="4" xfId="0" applyFont="1" applyBorder="1"/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wrapText="1"/>
    </xf>
    <xf numFmtId="0" fontId="2" fillId="0" borderId="1" xfId="0" applyFont="1" applyBorder="1"/>
    <xf numFmtId="0" fontId="5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1" xfId="0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/>
    <xf numFmtId="0" fontId="10" fillId="0" borderId="0" xfId="0" applyFont="1"/>
    <xf numFmtId="0" fontId="3" fillId="4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9" fontId="0" fillId="0" borderId="0" xfId="1" applyFont="1" applyBorder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9" fontId="3" fillId="2" borderId="0" xfId="1" applyFont="1" applyFill="1" applyBorder="1"/>
    <xf numFmtId="0" fontId="3" fillId="2" borderId="0" xfId="0" applyFont="1" applyFill="1"/>
    <xf numFmtId="0" fontId="3" fillId="6" borderId="0" xfId="0" applyFont="1" applyFill="1"/>
    <xf numFmtId="0" fontId="3" fillId="7" borderId="0" xfId="0" applyFont="1" applyFill="1"/>
    <xf numFmtId="0" fontId="0" fillId="0" borderId="1" xfId="1" applyNumberFormat="1" applyFont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0" fillId="8" borderId="6" xfId="0" applyFill="1" applyBorder="1"/>
    <xf numFmtId="0" fontId="0" fillId="8" borderId="6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wrapText="1"/>
    </xf>
    <xf numFmtId="14" fontId="0" fillId="8" borderId="1" xfId="0" applyNumberFormat="1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0" fillId="8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9" borderId="4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 wrapText="1"/>
    </xf>
    <xf numFmtId="0" fontId="10" fillId="0" borderId="6" xfId="0" applyFont="1" applyBorder="1"/>
    <xf numFmtId="0" fontId="9" fillId="0" borderId="12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12" fillId="0" borderId="0" xfId="0" applyFont="1"/>
    <xf numFmtId="0" fontId="3" fillId="12" borderId="1" xfId="0" applyFont="1" applyFill="1" applyBorder="1"/>
    <xf numFmtId="0" fontId="3" fillId="11" borderId="1" xfId="0" applyFont="1" applyFill="1" applyBorder="1"/>
    <xf numFmtId="0" fontId="0" fillId="4" borderId="1" xfId="0" applyFill="1" applyBorder="1"/>
    <xf numFmtId="0" fontId="13" fillId="0" borderId="0" xfId="0" applyFont="1"/>
    <xf numFmtId="0" fontId="0" fillId="0" borderId="1" xfId="0" quotePrefix="1" applyBorder="1"/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165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 vertical="center" wrapText="1"/>
    </xf>
    <xf numFmtId="165" fontId="0" fillId="0" borderId="1" xfId="1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/>
    <xf numFmtId="165" fontId="17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5" fontId="0" fillId="0" borderId="0" xfId="0" applyNumberFormat="1"/>
    <xf numFmtId="0" fontId="3" fillId="0" borderId="0" xfId="0" applyFont="1" applyAlignment="1">
      <alignment horizontal="left" vertical="center" wrapText="1"/>
    </xf>
    <xf numFmtId="9" fontId="0" fillId="0" borderId="0" xfId="1" applyFont="1" applyBorder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 vertical="center"/>
    </xf>
    <xf numFmtId="0" fontId="9" fillId="0" borderId="0" xfId="0" applyFont="1"/>
    <xf numFmtId="0" fontId="3" fillId="14" borderId="1" xfId="0" applyFont="1" applyFill="1" applyBorder="1" applyAlignment="1">
      <alignment horizontal="center"/>
    </xf>
    <xf numFmtId="0" fontId="0" fillId="14" borderId="2" xfId="0" applyFill="1" applyBorder="1" applyAlignment="1">
      <alignment horizontal="center" vertical="center" wrapText="1"/>
    </xf>
    <xf numFmtId="165" fontId="11" fillId="14" borderId="2" xfId="1" applyNumberFormat="1" applyFont="1" applyFill="1" applyBorder="1" applyAlignment="1">
      <alignment horizontal="center" vertical="center" wrapText="1"/>
    </xf>
    <xf numFmtId="165" fontId="11" fillId="14" borderId="1" xfId="1" applyNumberFormat="1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top" wrapText="1"/>
    </xf>
    <xf numFmtId="165" fontId="0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vertical="center" wrapText="1"/>
    </xf>
    <xf numFmtId="165" fontId="0" fillId="0" borderId="0" xfId="1" applyNumberFormat="1" applyFont="1" applyBorder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 wrapText="1"/>
    </xf>
    <xf numFmtId="0" fontId="18" fillId="0" borderId="0" xfId="0" applyFont="1"/>
    <xf numFmtId="2" fontId="13" fillId="0" borderId="4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top"/>
    </xf>
    <xf numFmtId="0" fontId="3" fillId="0" borderId="13" xfId="0" applyFont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165" fontId="0" fillId="0" borderId="13" xfId="1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0" fillId="0" borderId="13" xfId="1" applyNumberFormat="1" applyFont="1" applyBorder="1" applyAlignment="1">
      <alignment horizontal="center" vertical="center"/>
    </xf>
    <xf numFmtId="1" fontId="0" fillId="0" borderId="13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19" fillId="0" borderId="0" xfId="0" applyFont="1"/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165" fontId="0" fillId="0" borderId="7" xfId="1" applyNumberFormat="1" applyFont="1" applyBorder="1" applyAlignment="1">
      <alignment horizontal="center" vertical="center"/>
    </xf>
    <xf numFmtId="0" fontId="0" fillId="13" borderId="7" xfId="0" applyFill="1" applyBorder="1"/>
    <xf numFmtId="0" fontId="0" fillId="13" borderId="0" xfId="0" applyFill="1"/>
    <xf numFmtId="0" fontId="0" fillId="13" borderId="8" xfId="0" applyFill="1" applyBorder="1"/>
    <xf numFmtId="165" fontId="11" fillId="0" borderId="13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3" fillId="15" borderId="2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/>
    </xf>
    <xf numFmtId="0" fontId="0" fillId="15" borderId="1" xfId="0" applyFill="1" applyBorder="1" applyAlignment="1">
      <alignment horizontal="center" vertical="center"/>
    </xf>
    <xf numFmtId="0" fontId="0" fillId="15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vertical="top" wrapText="1"/>
    </xf>
    <xf numFmtId="0" fontId="20" fillId="0" borderId="0" xfId="0" applyFont="1"/>
    <xf numFmtId="0" fontId="0" fillId="8" borderId="1" xfId="0" applyFill="1" applyBorder="1" applyAlignment="1">
      <alignment vertical="center" wrapText="1"/>
    </xf>
    <xf numFmtId="0" fontId="0" fillId="8" borderId="4" xfId="0" applyFill="1" applyBorder="1"/>
    <xf numFmtId="0" fontId="0" fillId="8" borderId="5" xfId="0" applyFill="1" applyBorder="1"/>
    <xf numFmtId="0" fontId="0" fillId="8" borderId="4" xfId="0" applyFill="1" applyBorder="1" applyAlignment="1">
      <alignment vertical="center"/>
    </xf>
    <xf numFmtId="0" fontId="0" fillId="0" borderId="2" xfId="0" applyBorder="1" applyAlignment="1">
      <alignment horizontal="center"/>
    </xf>
    <xf numFmtId="165" fontId="0" fillId="14" borderId="1" xfId="1" applyNumberFormat="1" applyFont="1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</cellXfs>
  <cellStyles count="3">
    <cellStyle name="Normal" xfId="0" builtinId="0"/>
    <cellStyle name="Pourcentage" xfId="1" builtinId="5"/>
    <cellStyle name="Pourcentage 2" xfId="2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theme="4" tint="0.79998168889431442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theme="4" tint="0.79998168889431442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2" formatCode="0.00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E6E6E6"/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51</xdr:row>
      <xdr:rowOff>24764</xdr:rowOff>
    </xdr:from>
    <xdr:ext cx="5991225" cy="6825616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100" y="9465944"/>
          <a:ext cx="5991225" cy="68256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CA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CARACTÉRISATION - Prise de mesures</a:t>
          </a:r>
        </a:p>
        <a:p>
          <a:r>
            <a:rPr lang="fr-CA" sz="1100" b="0" baseline="0">
              <a:solidFill>
                <a:schemeClr val="tx1"/>
              </a:solidFill>
              <a:latin typeface="+mn-lt"/>
              <a:ea typeface="+mn-ea"/>
              <a:cs typeface="+mn-cs"/>
            </a:rPr>
            <a:t>- S'assurer que le ruban à mesurer est parfaitement horizontal et qu'il est parallèle  ou perpendiculaire au mur.</a:t>
          </a:r>
        </a:p>
        <a:p>
          <a:r>
            <a:rPr lang="fr-CA" sz="1100" b="0" baseline="0">
              <a:solidFill>
                <a:schemeClr val="tx1"/>
              </a:solidFill>
              <a:latin typeface="+mn-lt"/>
              <a:ea typeface="+mn-ea"/>
              <a:cs typeface="+mn-cs"/>
            </a:rPr>
            <a:t>- S'assurer que le cliquet au bout du ruban à mesurer est poussé lors de la prise de mesure, puisque toutes les mesures sont "intérieures".</a:t>
          </a:r>
        </a:p>
        <a:p>
          <a:r>
            <a:rPr lang="fr-CA" sz="1100" b="0" baseline="0">
              <a:solidFill>
                <a:schemeClr val="tx1"/>
              </a:solidFill>
              <a:latin typeface="+mn-lt"/>
              <a:ea typeface="+mn-ea"/>
              <a:cs typeface="+mn-cs"/>
            </a:rPr>
            <a:t>- Entrer les mesures dans la feuille "Caractérisation" et compléter les informations manquantes (cellules en vert pâle) avant de procéder à la validation des mesures.</a:t>
          </a:r>
        </a:p>
        <a:p>
          <a:endParaRPr lang="fr-CA" sz="1100" b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CARACTÉRISATION - Validation des mesures de la pièce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fr-CA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CA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Déposer le casque laser sur un trépied dans une position stable et "au niveau" dans les deux axes horizontaux (nord-sud, est-ouest). Le milieu du casque laser (boite contenant les 4 lasers) doit être au-dessus de la position </a:t>
          </a:r>
          <a:r>
            <a:rPr lang="fr-CA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l’usager lors d’une évaluation en champ libre (sur le point de repère en forme de croix au sol).  </a:t>
          </a:r>
        </a:p>
        <a:p>
          <a:r>
            <a:rPr lang="fr-CA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2- Ajuster la hauteur et la position du trépied pour que le laser Nord (N) pointe au milieu du haut-parleur (HP) droit. Ajuster de nouveau la hauteur du trépied sans bouger la position horizontale du laser Nord (milieu du HP droit) pour qu’un des 4 lasers pointe sur un des cartons gradués installés au mur. </a:t>
          </a:r>
        </a:p>
        <a:p>
          <a:r>
            <a:rPr lang="fr-CA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3- Lire la mesure (donnée X ou Y en précisant le carton utilisé pour la lecture et le laser soit N, S, E ou O). </a:t>
          </a:r>
        </a:p>
        <a:p>
          <a:r>
            <a:rPr lang="fr-CA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4- Refaire les étapes 2 et 3 avec le HP gauche. </a:t>
          </a:r>
        </a:p>
        <a:p>
          <a:r>
            <a:rPr lang="fr-CA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5- Vérifier si l'erreur</a:t>
          </a:r>
          <a:r>
            <a:rPr lang="fr-CA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angulaire (</a:t>
          </a:r>
          <a:r>
            <a:rPr lang="fr-CA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feuille « Caractérisation ») donne un résultat près de 0 pour les deux HP. Sinon, reprendre les mesures de la pièce et vérifier</a:t>
          </a:r>
          <a:r>
            <a:rPr lang="fr-CA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A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taille de la plus petite unité du carton gradué (cm); s’assurer que les lasers sont bien à 90° l’un de l’autre; reprendre les étapes 1 à 4 pour la validation.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CA">
            <a:solidFill>
              <a:srgbClr val="FF0000"/>
            </a:solidFill>
            <a:effectLst/>
          </a:endParaRPr>
        </a:p>
        <a:p>
          <a:r>
            <a:rPr lang="fr-CA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CODE DE COULEUR</a:t>
          </a:r>
          <a:endParaRPr lang="fr-CA"/>
        </a:p>
        <a:p>
          <a:r>
            <a:rPr lang="fr-CA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- Dans les feuilles de caractérisation et d'identification, seules les cellules en vert pâle doivent être remplies.</a:t>
          </a:r>
          <a:endParaRPr lang="fr-CA"/>
        </a:p>
        <a:p>
          <a:r>
            <a:rPr lang="fr-CA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- Dans la feuille d'entrée des données, seules les colonnes en vert foncé doivent être remplies. Les autres données sont calculées automatiquement.</a:t>
          </a:r>
          <a:endParaRPr lang="fr-CA"/>
        </a:p>
        <a:p>
          <a:r>
            <a:rPr lang="fr-CA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- Dans la feuille d'entrée des données, certaines colonnes de calcul ont été volontairement cachées.  Si elles sont affichées, ces colonnes apparaissent en rouge.</a:t>
          </a:r>
          <a:endParaRPr lang="fr-CA"/>
        </a:p>
        <a:p>
          <a:r>
            <a:rPr lang="fr-CA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- Les onglets en couleur grise ne doivent normalement pas être utilisés.</a:t>
          </a:r>
        </a:p>
        <a:p>
          <a:endParaRPr lang="fr-CA" sz="110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fr-CA" sz="9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FONCTIONNEMENT DU FICHIER</a:t>
          </a:r>
          <a:endParaRPr lang="fr-CA" sz="900">
            <a:effectLst/>
          </a:endParaRPr>
        </a:p>
        <a:p>
          <a:r>
            <a:rPr lang="fr-CA" sz="9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Chaque élément dans la  pièce est positionné dans un système de coordonnées cartésiennes dont l'origine est située à l'intersection des deux cartons.  </a:t>
          </a:r>
        </a:p>
        <a:p>
          <a:r>
            <a:rPr lang="fr-CA" sz="9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Une fois que la coordonnée de chaque point est connue, l'application de la loi de Cos permet de connaître l'angle décrit par 3 points.</a:t>
          </a:r>
          <a:endParaRPr lang="fr-CA" sz="900" b="0">
            <a:effectLst/>
          </a:endParaRPr>
        </a:p>
        <a:p>
          <a:r>
            <a:rPr lang="fr-CA" sz="9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Dans les différents onglets, plusieurs colonnes sont cachées pour des calculs intermédiaires. </a:t>
          </a:r>
          <a:endParaRPr lang="fr-CA" sz="90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fr-CA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CA"/>
        </a:p>
        <a:p>
          <a:endParaRPr lang="fr-CA" sz="1100"/>
        </a:p>
      </xdr:txBody>
    </xdr:sp>
    <xdr:clientData/>
  </xdr:oneCellAnchor>
  <xdr:oneCellAnchor>
    <xdr:from>
      <xdr:col>0</xdr:col>
      <xdr:colOff>63501</xdr:colOff>
      <xdr:row>4</xdr:row>
      <xdr:rowOff>15875</xdr:rowOff>
    </xdr:from>
    <xdr:ext cx="5889624" cy="7556499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501" y="501650"/>
          <a:ext cx="5889624" cy="7556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CA" sz="1100" b="1"/>
            <a:t>PROTECTION DU CLASSEUR</a:t>
          </a:r>
        </a:p>
        <a:p>
          <a:r>
            <a:rPr lang="fr-CA" sz="1100" b="0"/>
            <a:t>- Le classeur est protégé pour éviter les erreurs de manipulation.  Pour ôter la protection,</a:t>
          </a:r>
          <a:r>
            <a:rPr lang="fr-CA" sz="1100" b="0" baseline="0"/>
            <a:t> le mot de passe est "sela".</a:t>
          </a:r>
        </a:p>
        <a:p>
          <a:endParaRPr lang="fr-CA" sz="1100" b="0" baseline="0"/>
        </a:p>
        <a:p>
          <a:pPr algn="ctr"/>
          <a:r>
            <a:rPr lang="fr-CA" sz="1100" b="1" i="1" baseline="0">
              <a:solidFill>
                <a:srgbClr val="FF0000"/>
              </a:solidFill>
            </a:rPr>
            <a:t>AVERTISSEMENT : </a:t>
          </a:r>
          <a:r>
            <a:rPr lang="fr-CA" sz="1100" b="0" i="1" baseline="0"/>
            <a:t>L'outil est validé tel quel. Toute modification de l'outil </a:t>
          </a:r>
        </a:p>
        <a:p>
          <a:pPr algn="ctr"/>
          <a:r>
            <a:rPr lang="fr-CA" sz="1100" b="0" i="1" baseline="0"/>
            <a:t>pourrait en compromettre l'utilisation clinique.</a:t>
          </a:r>
        </a:p>
        <a:p>
          <a:endParaRPr lang="fr-CA" sz="1100" b="1"/>
        </a:p>
        <a:p>
          <a:r>
            <a:rPr lang="fr-CA" sz="1100" b="1"/>
            <a:t>PROCÉDURE</a:t>
          </a:r>
          <a:r>
            <a:rPr lang="fr-CA" sz="1100" b="1" baseline="0"/>
            <a:t> DE TEST</a:t>
          </a:r>
        </a:p>
        <a:p>
          <a:r>
            <a:rPr lang="fr-CA" sz="1100" baseline="0"/>
            <a:t>- La procédure de test  détaillée est présentée dans le document intitulé " </a:t>
          </a:r>
          <a:r>
            <a:rPr lang="fr-CA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Protocole d'évaluation</a:t>
          </a:r>
          <a:r>
            <a:rPr lang="fr-CA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de la localisation auditive en cabine insonorisée conventionnelle pour une clientèle présentant une surdicécité</a:t>
          </a:r>
          <a:r>
            <a:rPr lang="fr-CA" sz="1100" baseline="0">
              <a:solidFill>
                <a:sysClr val="windowText" lastClr="000000"/>
              </a:solidFill>
            </a:rPr>
            <a:t>".</a:t>
          </a:r>
        </a:p>
        <a:p>
          <a:endParaRPr lang="fr-CA" sz="1100" baseline="0"/>
        </a:p>
        <a:p>
          <a:r>
            <a:rPr lang="fr-CA" sz="1100" b="1"/>
            <a:t>CONVENTIONS DES SIGNES</a:t>
          </a:r>
        </a:p>
        <a:p>
          <a:r>
            <a:rPr lang="fr-CA" sz="1100"/>
            <a:t>- Toutes</a:t>
          </a:r>
          <a:r>
            <a:rPr lang="fr-CA" sz="1100" baseline="0"/>
            <a:t> les données  inscrites doivent être positives.</a:t>
          </a:r>
        </a:p>
        <a:p>
          <a:r>
            <a:rPr lang="fr-CA" sz="1100" baseline="0"/>
            <a:t>- Dans la colonne de réponse angulaire :</a:t>
          </a:r>
        </a:p>
        <a:p>
          <a:r>
            <a:rPr lang="fr-CA" sz="1100" baseline="0"/>
            <a:t>       - Les angles positifs représentent un décalage dans le sens horaire;</a:t>
          </a:r>
        </a:p>
        <a:p>
          <a:r>
            <a:rPr lang="fr-CA" sz="1100" baseline="0"/>
            <a:t>       - Les angles négatifs représentent un décalage dans le sens anti-horaire.</a:t>
          </a:r>
        </a:p>
        <a:p>
          <a:endParaRPr lang="fr-CA" sz="1100" baseline="0"/>
        </a:p>
        <a:p>
          <a:r>
            <a:rPr lang="fr-CA" sz="1100" b="1" baseline="0"/>
            <a:t>POSITION DES LASERS</a:t>
          </a:r>
        </a:p>
        <a:p>
          <a:r>
            <a:rPr lang="fr-CA" sz="1100" baseline="0"/>
            <a:t>- Le nom des lasers représente les 4 points cardinaux (N,S, E, O) :</a:t>
          </a:r>
        </a:p>
        <a:p>
          <a:endParaRPr lang="fr-CA" sz="1100" baseline="0"/>
        </a:p>
        <a:p>
          <a:endParaRPr lang="fr-CA" sz="1100" baseline="0"/>
        </a:p>
        <a:p>
          <a:endParaRPr lang="fr-CA" sz="1100" baseline="0"/>
        </a:p>
        <a:p>
          <a:endParaRPr lang="fr-CA" sz="1100" baseline="0"/>
        </a:p>
        <a:p>
          <a:endParaRPr lang="fr-CA" sz="1100" baseline="0"/>
        </a:p>
        <a:p>
          <a:endParaRPr lang="fr-CA" sz="1100" baseline="0"/>
        </a:p>
        <a:p>
          <a:endParaRPr lang="fr-CA" sz="1100" baseline="0"/>
        </a:p>
        <a:p>
          <a:endParaRPr lang="fr-CA" sz="1100" baseline="0"/>
        </a:p>
        <a:p>
          <a:endParaRPr lang="fr-CA" sz="1100" baseline="0"/>
        </a:p>
        <a:p>
          <a:r>
            <a:rPr lang="fr-CA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CARACTÉRISATION DE LA PIÈCE / POSITION DES CARTONS GRADUÉS</a:t>
          </a:r>
          <a:endParaRPr lang="fr-CA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fr-CA" sz="1100" b="0" baseline="0">
              <a:solidFill>
                <a:schemeClr val="tx1"/>
              </a:solidFill>
              <a:latin typeface="+mn-lt"/>
              <a:ea typeface="+mn-ea"/>
              <a:cs typeface="+mn-cs"/>
            </a:rPr>
            <a:t>- Les cartons gradués peuvent être positionnés dans le coin droit ou dans le coin gauche de la pièce, face à l'utilisateur.</a:t>
          </a:r>
          <a:endParaRPr lang="fr-CA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fr-CA" sz="1100" b="0" baseline="0">
              <a:solidFill>
                <a:schemeClr val="tx1"/>
              </a:solidFill>
              <a:latin typeface="+mn-lt"/>
              <a:ea typeface="+mn-ea"/>
              <a:cs typeface="+mn-cs"/>
            </a:rPr>
            <a:t>- Le "0" des deux cartons doit être situé dans le coin de la pièce. Cela représente également la coordonnée (0,0) pour les calculs dans le fichier *.</a:t>
          </a:r>
          <a:endParaRPr lang="fr-CA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fr-CA" sz="1100" b="0" baseline="0">
              <a:solidFill>
                <a:schemeClr val="tx1"/>
              </a:solidFill>
              <a:latin typeface="+mn-lt"/>
              <a:ea typeface="+mn-ea"/>
              <a:cs typeface="+mn-cs"/>
            </a:rPr>
            <a:t>- Le carton gradué situé en face de l'utilisateur s'appelle "X". </a:t>
          </a:r>
          <a:endParaRPr lang="fr-CA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fr-CA" sz="1100" b="0" baseline="0">
              <a:solidFill>
                <a:schemeClr val="tx1"/>
              </a:solidFill>
              <a:latin typeface="+mn-lt"/>
              <a:ea typeface="+mn-ea"/>
              <a:cs typeface="+mn-cs"/>
            </a:rPr>
            <a:t>- Le carton gradué situé à gauche ou à droite de l'utilisateur s'appelle "Y".</a:t>
          </a:r>
        </a:p>
        <a:p>
          <a:endParaRPr lang="fr-CA" sz="1100" b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fr-CA" sz="1100" b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fr-CA" sz="1100" b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fontAlgn="base"/>
          <a:endParaRPr lang="fr-CA" sz="1100" b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fr-CA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Cartons à droite		        Cartons à gauche</a:t>
          </a:r>
          <a:endParaRPr lang="fr-CA"/>
        </a:p>
        <a:p>
          <a:endParaRPr lang="fr-CA" sz="1100" baseline="0"/>
        </a:p>
        <a:p>
          <a:endParaRPr lang="fr-CA" sz="1100" baseline="0"/>
        </a:p>
        <a:p>
          <a:endParaRPr lang="fr-CA" sz="1100" baseline="0"/>
        </a:p>
        <a:p>
          <a:endParaRPr lang="fr-CA" sz="1100" b="1" baseline="0"/>
        </a:p>
        <a:p>
          <a:endParaRPr lang="fr-CA" sz="1100" b="1" baseline="0"/>
        </a:p>
        <a:p>
          <a:endParaRPr lang="fr-CA" sz="1100" b="1" baseline="0"/>
        </a:p>
        <a:p>
          <a:endParaRPr lang="fr-CA" sz="1100" b="1" baseline="0"/>
        </a:p>
        <a:p>
          <a:endParaRPr lang="fr-CA" sz="1100" b="1" baseline="0"/>
        </a:p>
        <a:p>
          <a:endParaRPr lang="fr-CA" sz="1100" b="1" baseline="0"/>
        </a:p>
        <a:p>
          <a:endParaRPr lang="fr-CA" sz="1100" b="1" baseline="0"/>
        </a:p>
      </xdr:txBody>
    </xdr:sp>
    <xdr:clientData/>
  </xdr:oneCellAnchor>
  <xdr:twoCellAnchor editAs="oneCell">
    <xdr:from>
      <xdr:col>1</xdr:col>
      <xdr:colOff>57150</xdr:colOff>
      <xdr:row>23</xdr:row>
      <xdr:rowOff>86995</xdr:rowOff>
    </xdr:from>
    <xdr:to>
      <xdr:col>3</xdr:col>
      <xdr:colOff>584199</xdr:colOff>
      <xdr:row>30</xdr:row>
      <xdr:rowOff>42582</xdr:rowOff>
    </xdr:to>
    <xdr:pic>
      <xdr:nvPicPr>
        <xdr:cNvPr id="4" name="Image 3" descr="Diapositive4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1480" t="28307" r="24896" b="31254"/>
        <a:stretch>
          <a:fillRect/>
        </a:stretch>
      </xdr:blipFill>
      <xdr:spPr>
        <a:xfrm>
          <a:off x="1901190" y="4407535"/>
          <a:ext cx="2332989" cy="1235747"/>
        </a:xfrm>
        <a:prstGeom prst="rect">
          <a:avLst/>
        </a:prstGeom>
      </xdr:spPr>
    </xdr:pic>
    <xdr:clientData/>
  </xdr:twoCellAnchor>
  <xdr:twoCellAnchor editAs="oneCell">
    <xdr:from>
      <xdr:col>2</xdr:col>
      <xdr:colOff>579121</xdr:colOff>
      <xdr:row>38</xdr:row>
      <xdr:rowOff>121921</xdr:rowOff>
    </xdr:from>
    <xdr:to>
      <xdr:col>4</xdr:col>
      <xdr:colOff>869674</xdr:colOff>
      <xdr:row>50</xdr:row>
      <xdr:rowOff>146116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FD56D8F-A388-0C5F-934C-B751E4502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0381" y="7185661"/>
          <a:ext cx="2667993" cy="22187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83820</xdr:rowOff>
    </xdr:from>
    <xdr:to>
      <xdr:col>2</xdr:col>
      <xdr:colOff>145006</xdr:colOff>
      <xdr:row>50</xdr:row>
      <xdr:rowOff>173172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ECCF784-4489-594C-B2F5-FC795D58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147560"/>
          <a:ext cx="2606266" cy="2283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77287</xdr:colOff>
      <xdr:row>15</xdr:row>
      <xdr:rowOff>26129</xdr:rowOff>
    </xdr:from>
    <xdr:to>
      <xdr:col>6</xdr:col>
      <xdr:colOff>742123</xdr:colOff>
      <xdr:row>18</xdr:row>
      <xdr:rowOff>86139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B1EFEC20-4483-E601-9DBC-919643F6F681}"/>
            </a:ext>
          </a:extLst>
        </xdr:cNvPr>
        <xdr:cNvSpPr txBox="1"/>
      </xdr:nvSpPr>
      <xdr:spPr>
        <a:xfrm>
          <a:off x="3622244" y="3511451"/>
          <a:ext cx="1486470" cy="1173192"/>
        </a:xfrm>
        <a:prstGeom prst="rect">
          <a:avLst/>
        </a:prstGeom>
        <a:solidFill>
          <a:schemeClr val="lt1"/>
        </a:solidFill>
        <a:ln w="2222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/>
            <a:t>Si le résultat de la colonne</a:t>
          </a:r>
          <a:r>
            <a:rPr lang="fr-CA" sz="1100" baseline="0"/>
            <a:t> "Résultat de l'usager" </a:t>
          </a:r>
          <a:r>
            <a:rPr lang="fr-CA" sz="1100"/>
            <a:t>apparaît en rouge, cela signifie qu'il est hors normes.</a:t>
          </a:r>
          <a:endParaRPr lang="fr-CA" sz="1100" baseline="0"/>
        </a:p>
      </xdr:txBody>
    </xdr:sp>
    <xdr:clientData/>
  </xdr:twoCellAnchor>
  <xdr:twoCellAnchor>
    <xdr:from>
      <xdr:col>0</xdr:col>
      <xdr:colOff>80686</xdr:colOff>
      <xdr:row>9</xdr:row>
      <xdr:rowOff>63200</xdr:rowOff>
    </xdr:from>
    <xdr:to>
      <xdr:col>6</xdr:col>
      <xdr:colOff>768627</xdr:colOff>
      <xdr:row>12</xdr:row>
      <xdr:rowOff>132522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DD70E292-5FD7-4D65-91AF-6B1E02BE86CD}"/>
            </a:ext>
          </a:extLst>
        </xdr:cNvPr>
        <xdr:cNvSpPr txBox="1"/>
      </xdr:nvSpPr>
      <xdr:spPr>
        <a:xfrm>
          <a:off x="80686" y="2117287"/>
          <a:ext cx="5054532" cy="672296"/>
        </a:xfrm>
        <a:prstGeom prst="rect">
          <a:avLst/>
        </a:prstGeom>
        <a:solidFill>
          <a:schemeClr val="lt1"/>
        </a:solidFill>
        <a:ln w="2222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/>
            <a:t>Si le résultat de la colonne</a:t>
          </a:r>
          <a:r>
            <a:rPr lang="fr-CA" sz="1100" baseline="0"/>
            <a:t> "Résultat de l'usager" </a:t>
          </a:r>
          <a:r>
            <a:rPr lang="fr-CA" sz="1100"/>
            <a:t>apparaît en rouge, cela signifie qu'il est en deçà</a:t>
          </a:r>
          <a:r>
            <a:rPr lang="fr-CA" sz="1100" baseline="0"/>
            <a:t> du 50e percentile</a:t>
          </a:r>
          <a:r>
            <a:rPr lang="fr-CA" sz="1100"/>
            <a:t>. </a:t>
          </a:r>
          <a:r>
            <a:rPr lang="fr-CA" sz="1100" b="1"/>
            <a:t>Voir l'onglet "Analyse supplémentaire" le</a:t>
          </a:r>
          <a:r>
            <a:rPr lang="fr-CA" sz="1100" b="1" baseline="0"/>
            <a:t> cas échéant.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38101</xdr:rowOff>
    </xdr:from>
    <xdr:to>
      <xdr:col>7</xdr:col>
      <xdr:colOff>7620</xdr:colOff>
      <xdr:row>19</xdr:row>
      <xdr:rowOff>121921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3089774-D539-440C-AFCC-29A9C8766474}"/>
            </a:ext>
          </a:extLst>
        </xdr:cNvPr>
        <xdr:cNvSpPr txBox="1"/>
      </xdr:nvSpPr>
      <xdr:spPr>
        <a:xfrm>
          <a:off x="15240" y="4038601"/>
          <a:ext cx="5836920" cy="449580"/>
        </a:xfrm>
        <a:prstGeom prst="rect">
          <a:avLst/>
        </a:prstGeom>
        <a:solidFill>
          <a:schemeClr val="lt1"/>
        </a:solidFill>
        <a:ln w="2222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/>
            <a:t>Si le résultat de la colonne</a:t>
          </a:r>
          <a:r>
            <a:rPr lang="fr-CA" sz="1100" baseline="0"/>
            <a:t> "Taux de bonne réponse" </a:t>
          </a:r>
          <a:r>
            <a:rPr lang="fr-CA" sz="1100"/>
            <a:t>apparaît en rouge, cela signifie qu'il est en deçà du 50e percentile.</a:t>
          </a:r>
          <a:endParaRPr lang="fr-CA" sz="1100" baseline="0"/>
        </a:p>
      </xdr:txBody>
    </xdr:sp>
    <xdr:clientData/>
  </xdr:twoCellAnchor>
  <xdr:twoCellAnchor>
    <xdr:from>
      <xdr:col>0</xdr:col>
      <xdr:colOff>24204</xdr:colOff>
      <xdr:row>39</xdr:row>
      <xdr:rowOff>40790</xdr:rowOff>
    </xdr:from>
    <xdr:to>
      <xdr:col>6</xdr:col>
      <xdr:colOff>998219</xdr:colOff>
      <xdr:row>41</xdr:row>
      <xdr:rowOff>124610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BF800AE-C347-4681-83AB-964F823B3008}"/>
            </a:ext>
          </a:extLst>
        </xdr:cNvPr>
        <xdr:cNvSpPr txBox="1"/>
      </xdr:nvSpPr>
      <xdr:spPr>
        <a:xfrm>
          <a:off x="24204" y="9253370"/>
          <a:ext cx="5820335" cy="449580"/>
        </a:xfrm>
        <a:prstGeom prst="rect">
          <a:avLst/>
        </a:prstGeom>
        <a:solidFill>
          <a:schemeClr val="lt1"/>
        </a:solidFill>
        <a:ln w="2222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/>
            <a:t>Si le résultat de la colonne</a:t>
          </a:r>
          <a:r>
            <a:rPr lang="fr-CA" sz="1100" baseline="0"/>
            <a:t> "Taux de bonne réponse" </a:t>
          </a:r>
          <a:r>
            <a:rPr lang="fr-CA" sz="1100"/>
            <a:t>apparaît en rouge, cela signifie qu'il</a:t>
          </a:r>
          <a:r>
            <a:rPr lang="fr-CA" sz="1100" baseline="0"/>
            <a:t> </a:t>
          </a:r>
          <a:r>
            <a:rPr lang="fr-CA" sz="1100"/>
            <a:t>est en deçà du 50e percentile.</a:t>
          </a:r>
          <a:endParaRPr lang="fr-CA" sz="1100" baseline="0"/>
        </a:p>
      </xdr:txBody>
    </xdr:sp>
    <xdr:clientData/>
  </xdr:twoCellAnchor>
  <xdr:twoCellAnchor>
    <xdr:from>
      <xdr:col>0</xdr:col>
      <xdr:colOff>22860</xdr:colOff>
      <xdr:row>59</xdr:row>
      <xdr:rowOff>68580</xdr:rowOff>
    </xdr:from>
    <xdr:to>
      <xdr:col>7</xdr:col>
      <xdr:colOff>7620</xdr:colOff>
      <xdr:row>61</xdr:row>
      <xdr:rowOff>152400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6DBEADCB-4CAA-4DE4-A59D-C62AAF45C334}"/>
            </a:ext>
          </a:extLst>
        </xdr:cNvPr>
        <xdr:cNvSpPr txBox="1"/>
      </xdr:nvSpPr>
      <xdr:spPr>
        <a:xfrm>
          <a:off x="22860" y="13060680"/>
          <a:ext cx="5829300" cy="449580"/>
        </a:xfrm>
        <a:prstGeom prst="rect">
          <a:avLst/>
        </a:prstGeom>
        <a:solidFill>
          <a:schemeClr val="lt1"/>
        </a:solidFill>
        <a:ln w="2222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/>
            <a:t>Si le résultat de la colonne</a:t>
          </a:r>
          <a:r>
            <a:rPr lang="fr-CA" sz="1100" baseline="0"/>
            <a:t> "Taux de bonne réponse" </a:t>
          </a:r>
          <a:r>
            <a:rPr lang="fr-CA" sz="1100"/>
            <a:t>apparaît en rouge, cela signifie qu'il est en deçà du 50e percentile.</a:t>
          </a:r>
          <a:endParaRPr lang="fr-CA" sz="11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226027</xdr:colOff>
      <xdr:row>13</xdr:row>
      <xdr:rowOff>144780</xdr:rowOff>
    </xdr:from>
    <xdr:to>
      <xdr:col>5</xdr:col>
      <xdr:colOff>26276</xdr:colOff>
      <xdr:row>18</xdr:row>
      <xdr:rowOff>76200</xdr:rowOff>
    </xdr:to>
    <xdr:pic>
      <xdr:nvPicPr>
        <xdr:cNvPr id="5122" name="Picture 2" descr="Image result for PERSON FROM TOP">
          <a:extLst>
            <a:ext uri="{FF2B5EF4-FFF2-40B4-BE49-F238E27FC236}">
              <a16:creationId xmlns:a16="http://schemas.microsoft.com/office/drawing/2014/main" id="{00000000-0008-0000-05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13067" y="1836420"/>
          <a:ext cx="836569" cy="84582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2" name="Tableau2" displayName="Tableau2" ref="A8:AG72" totalsRowShown="0" headerRowDxfId="54" dataDxfId="52" headerRowBorderDxfId="53" tableBorderDxfId="51" totalsRowBorderDxfId="50">
  <autoFilter ref="A8:AG72"/>
  <tableColumns count="33">
    <tableColumn id="1" name="No." dataDxfId="49"/>
    <tableColumn id="30" name="*No unique" dataDxfId="48">
      <calculatedColumnFormula>Identification!$B$11&amp;'Entrée de données'!A9</calculatedColumnFormula>
    </tableColumn>
    <tableColumn id="2" name="0° client" dataDxfId="47">
      <calculatedColumnFormula>IF(Identification!$B$11="","",VLOOKUP(Tableau2[[#This Row],[*No unique]],Tableau4[[No unique]:[Oreille]],3,FALSE))</calculatedColumnFormula>
    </tableColumn>
    <tableColumn id="3" name="Intensité dB HL et pavé" dataDxfId="46">
      <calculatedColumnFormula>IF(Identification!$B$11="","",VLOOKUP(Tableau2[[#This Row],[*No unique]],Tableau4[[No unique]:[Oreille]],4,FALSE))</calculatedColumnFormula>
    </tableColumn>
    <tableColumn id="25" name="*Intensité" dataDxfId="45">
      <calculatedColumnFormula>LEFT(D9,2)</calculatedColumnFormula>
    </tableColumn>
    <tableColumn id="4" name="*Pavé" dataDxfId="44">
      <calculatedColumnFormula>RIGHT(D9,1)</calculatedColumnFormula>
    </tableColumn>
    <tableColumn id="5" name="HP émetteur" dataDxfId="43">
      <calculatedColumnFormula>IF(Identification!$B$11="","",VLOOKUP(Tableau2[[#This Row],[*No unique]],Tableau4[[No unique]:[Oreille]],5,FALSE))</calculatedColumnFormula>
    </tableColumn>
    <tableColumn id="6" name="Dépl. / Angle et Oreille" dataDxfId="42">
      <calculatedColumnFormula>IF(Identification!$B$11="","",VLOOKUP(Tableau2[[#This Row],[*No unique]],Tableau4[[No unique]:[Angle et oreille]],8,FALSE))</calculatedColumnFormula>
    </tableColumn>
    <tableColumn id="7" name="Oreille" dataDxfId="41">
      <calculatedColumnFormula>IF(Identification!$B$11="","",VLOOKUP(Tableau2[[#This Row],[*No unique]],Tableau4[[No unique]:[Oreille]],7,FALSE))</calculatedColumnFormula>
    </tableColumn>
    <tableColumn id="13" name="*HGx ou HDx" dataDxfId="40">
      <calculatedColumnFormula>IF(G9="G",Calculs!$B$5,Calculs!$B$6)</calculatedColumnFormula>
    </tableColumn>
    <tableColumn id="14" name="*HGy ou HDy" dataDxfId="39">
      <calculatedColumnFormula>IF(G9="G",Calculs!$C$5,Calculs!$C$6)</calculatedColumnFormula>
    </tableColumn>
    <tableColumn id="15" name="*Dist avec l'usager (HG_C ou HD_C)" dataDxfId="38">
      <calculatedColumnFormula>IF(Tableau2[[#This Row],[HP émetteur]]="G",Calculs!$B$12,Calculs!$B$13)</calculatedColumnFormula>
    </tableColumn>
    <tableColumn id="9" name="*Angle HG/HD_C_Cy0" dataDxfId="37">
      <calculatedColumnFormula>IF(Tableau2[[#This Row],[HP émetteur]]="G",-Calculs!$B$20,Calculs!$B$21)</calculatedColumnFormula>
    </tableColumn>
    <tableColumn id="16" name="Valeur sur l'échelle en X ou Y" dataDxfId="36"/>
    <tableColumn id="23" name="Échelle graduée (X ou Y)" dataDxfId="35"/>
    <tableColumn id="12" name="No. Du laser (N,E, S,O)" dataDxfId="34"/>
    <tableColumn id="19" name="*Px" dataDxfId="33">
      <calculatedColumnFormula>IF(#REF!="Y",0,#REF!*Caractérisation!$C$19)</calculatedColumnFormula>
    </tableColumn>
    <tableColumn id="20" name="*Py" dataDxfId="32">
      <calculatedColumnFormula>IF(#REF!="Y",#REF!*Caractérisation!$C$19,0)</calculatedColumnFormula>
    </tableColumn>
    <tableColumn id="21" name="*Dist Cy0_P" dataDxfId="31">
      <calculatedColumnFormula>SQRT((Tableau2[[#This Row],[*Px]]-Calculs!$B$8)^2+(Tableau2[[#This Row],[*Py]]^2))</calculatedColumnFormula>
    </tableColumn>
    <tableColumn id="10" name="*Dist C_P" dataDxfId="30">
      <calculatedColumnFormula>SQRT((Calculs!$B$7-Tableau2[[#This Row],[*Px]])^2+(Tableau2[[#This Row],[*Py]]-Calculs!$C$7)^2)</calculatedColumnFormula>
    </tableColumn>
    <tableColumn id="8" name="*Angle P_C_Cy0" dataDxfId="29">
      <calculatedColumnFormula>DEGREES(ACOS((Calculs!$B$16^2+Tableau2[[#This Row],[*Dist C_P]]^2-Tableau2[[#This Row],[*Dist Cy0_P]]^2)/(2*Calculs!$B$16*Tableau2[[#This Row],[*Dist C_P]])))</calculatedColumnFormula>
    </tableColumn>
    <tableColumn id="17" name="*Modificateur d'angle" dataDxfId="28">
      <calculatedColumnFormula>IF(Caractérisation!$C$8="Gauche",-1,IF(Caractérisation!$C$8="Droite",1,"Erreur"))</calculatedColumnFormula>
    </tableColumn>
    <tableColumn id="31" name="*Erreur angulaire temp" dataDxfId="27">
      <calculatedColumnFormula>IFERROR(Tableau2[[#This Row],[*Angle P_C_Cy0]]*Tableau2[[#This Row],[*Modificateur d''angle]]-Tableau2[[#This Row],[*Angle HG/HD_C_Cy0]]+VLOOKUP(Tableau2[[#This Row],[No. Du laser (N,E, S,O)]],Calculs!$A$26:$B$29,2,FALSE),"")</calculatedColumnFormula>
    </tableColumn>
    <tableColumn id="22" name="Réponse angulaire (degrés)" dataDxfId="26">
      <calculatedColumnFormula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calculatedColumnFormula>
    </tableColumn>
    <tableColumn id="29" name="Réponse angulaire sans CAA" dataDxfId="25">
      <calculatedColumnFormula>IF(Tableau2[[#This Row],[Erreur - Conf Av/Arr]]=0,Tableau2[[#This Row],[Réponse angulaire (degrés)]],"")</calculatedColumnFormula>
    </tableColumn>
    <tableColumn id="24" name="Réponse angulaire (abs)" dataDxfId="24">
      <calculatedColumnFormula>IFERROR(ABS(Tableau2[[#This Row],[Réponse angulaire (degrés)]]),"")</calculatedColumnFormula>
    </tableColumn>
    <tableColumn id="11" name="Réponse angulaire (abs) sans CAA" dataDxfId="23">
      <calculatedColumnFormula>IF(AE9=0,Z9,"")</calculatedColumnFormula>
    </tableColumn>
    <tableColumn id="28" name="Commentaire" dataDxfId="22">
      <calculatedColumnFormula>IF(Tableau2[[#This Row],[Réponse angulaire (degrés)]]="","",IF(Tableau2[[#This Row],[Réponse angulaire (degrés)]]&lt;0,"À gauche de la cible",IF(Tableau2[[#This Row],[Réponse angulaire (degrés)]]&gt;0,"À droite de la cible","Sur la cible")))</calculatedColumnFormula>
    </tableColumn>
    <tableColumn id="27" name="Réussite" dataDxfId="21">
      <calculatedColumnFormula>IFERROR(IF(ABS(Tableau2[[#This Row],[Réponse angulaire (degrés)]])&lt;=Identification!$B$13,1,0),"")</calculatedColumnFormula>
    </tableColumn>
    <tableColumn id="34" name="Erreur intra-quadrant" dataDxfId="20">
      <calculatedColumnFormula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calculatedColumnFormula>
    </tableColumn>
    <tableColumn id="18" name="Erreur - Conf Av/Arr" dataDxfId="19">
      <calculatedColumnFormula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calculatedColumnFormula>
    </tableColumn>
    <tableColumn id="32" name="Erreur - Conf G/D" dataDxfId="18">
      <calculatedColumnFormula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calculatedColumnFormula>
    </tableColumn>
    <tableColumn id="26" name="Commentaires de l'expérimentateur" dataDxfId="1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ableau4" displayName="Tableau4" ref="A3:I388" totalsRowShown="0" headerRowDxfId="11" dataDxfId="10" tableBorderDxfId="9">
  <autoFilter ref="A3:I388"/>
  <tableColumns count="9">
    <tableColumn id="1" name="Séquence" dataDxfId="8"/>
    <tableColumn id="10" name="No unique" dataDxfId="7">
      <calculatedColumnFormula>Tableau4[[#This Row],[Séquence]]&amp;C3:C4</calculatedColumnFormula>
    </tableColumn>
    <tableColumn id="2" name="No." dataDxfId="6"/>
    <tableColumn id="3" name="0° client" dataDxfId="5"/>
    <tableColumn id="4" name="Intensité dB HL et type de pavé" dataDxfId="4"/>
    <tableColumn id="6" name="HP émetteur" dataDxfId="3"/>
    <tableColumn id="7" name="Angle évalué" dataDxfId="2"/>
    <tableColumn id="8" name="Oreille" dataDxfId="1"/>
    <tableColumn id="13" name="Angle et oreille" dataDxfId="0">
      <calculatedColumnFormula>Tableau4[[#This Row],[Angle évalué]]&amp;"°"&amp;Tableau4[[#This Row],[Oreille]]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showGridLines="0" tabSelected="1" zoomScaleNormal="100" zoomScaleSheetLayoutView="100" workbookViewId="0">
      <selection activeCell="F6" sqref="F6"/>
    </sheetView>
  </sheetViews>
  <sheetFormatPr baseColWidth="10" defaultColWidth="11.42578125" defaultRowHeight="15" x14ac:dyDescent="0.25"/>
  <cols>
    <col min="1" max="1" width="26.7109375" customWidth="1"/>
    <col min="2" max="2" width="9" customWidth="1"/>
    <col min="3" max="4" width="17.28515625" customWidth="1"/>
    <col min="5" max="5" width="20.28515625" customWidth="1"/>
  </cols>
  <sheetData>
    <row r="1" spans="1:1" ht="23.25" x14ac:dyDescent="0.35">
      <c r="A1" s="4" t="s">
        <v>0</v>
      </c>
    </row>
    <row r="2" spans="1:1" x14ac:dyDescent="0.25">
      <c r="A2" s="139" t="s">
        <v>195</v>
      </c>
    </row>
    <row r="3" spans="1:1" x14ac:dyDescent="0.25">
      <c r="A3" s="139" t="s">
        <v>207</v>
      </c>
    </row>
    <row r="4" spans="1:1" x14ac:dyDescent="0.25">
      <c r="A4" s="139"/>
    </row>
  </sheetData>
  <sheetProtection algorithmName="SHA-512" hashValue="diraC4ns8sasLPzG/IpwqWC8JNKwDBGhBpg++Vv9LgOC6wThz+NGAwzYCJ8VEmMyTuFOP8OWEK4oKZO7RbmfHg==" saltValue="0ALVKv9g3r4VH7ULqhu38Q==" spinCount="100000" sheet="1" objects="1" scenarios="1"/>
  <pageMargins left="0.25" right="0.25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388"/>
  <sheetViews>
    <sheetView workbookViewId="0">
      <selection activeCell="K311" sqref="K311"/>
    </sheetView>
  </sheetViews>
  <sheetFormatPr baseColWidth="10" defaultColWidth="11.42578125" defaultRowHeight="15" x14ac:dyDescent="0.25"/>
  <cols>
    <col min="1" max="2" width="11.7109375" customWidth="1"/>
    <col min="5" max="5" width="16.42578125" customWidth="1"/>
    <col min="6" max="6" width="14.42578125" customWidth="1"/>
    <col min="7" max="7" width="14.7109375" customWidth="1"/>
  </cols>
  <sheetData>
    <row r="1" spans="1:11" ht="18.75" x14ac:dyDescent="0.3">
      <c r="A1" s="36" t="s">
        <v>176</v>
      </c>
    </row>
    <row r="2" spans="1:11" x14ac:dyDescent="0.25">
      <c r="G2" t="s">
        <v>177</v>
      </c>
    </row>
    <row r="3" spans="1:11" ht="30" x14ac:dyDescent="0.25">
      <c r="A3" s="70" t="s">
        <v>178</v>
      </c>
      <c r="B3" s="35" t="s">
        <v>179</v>
      </c>
      <c r="C3" s="71" t="s">
        <v>61</v>
      </c>
      <c r="D3" s="71" t="s">
        <v>63</v>
      </c>
      <c r="E3" s="71" t="s">
        <v>180</v>
      </c>
      <c r="F3" s="71" t="s">
        <v>23</v>
      </c>
      <c r="G3" s="71" t="s">
        <v>181</v>
      </c>
      <c r="H3" s="69" t="s">
        <v>68</v>
      </c>
      <c r="I3" s="35" t="s">
        <v>182</v>
      </c>
      <c r="K3" t="s">
        <v>183</v>
      </c>
    </row>
    <row r="4" spans="1:11" x14ac:dyDescent="0.25">
      <c r="A4" s="12">
        <v>1</v>
      </c>
      <c r="B4" s="12" t="str">
        <f>Tableau4[[#This Row],[Séquence]]&amp;C3:C4</f>
        <v>11</v>
      </c>
      <c r="C4" s="12">
        <v>1</v>
      </c>
      <c r="D4" s="12">
        <v>1</v>
      </c>
      <c r="E4" s="12" t="s">
        <v>184</v>
      </c>
      <c r="F4" s="12" t="s">
        <v>17</v>
      </c>
      <c r="G4" s="12" t="s">
        <v>185</v>
      </c>
      <c r="H4" s="12" t="s">
        <v>17</v>
      </c>
      <c r="I4" s="12" t="str">
        <f>Tableau4[[#This Row],[Angle évalué]]&amp;"°"&amp;Tableau4[[#This Row],[Oreille]]</f>
        <v>45°D</v>
      </c>
    </row>
    <row r="5" spans="1:11" x14ac:dyDescent="0.25">
      <c r="A5" s="12">
        <v>1</v>
      </c>
      <c r="B5" s="12" t="str">
        <f>Tableau4[[#This Row],[Séquence]]&amp;C4:C5</f>
        <v>12</v>
      </c>
      <c r="C5" s="12">
        <v>2</v>
      </c>
      <c r="D5" s="12">
        <v>2</v>
      </c>
      <c r="E5" s="12" t="s">
        <v>184</v>
      </c>
      <c r="F5" s="12" t="s">
        <v>39</v>
      </c>
      <c r="G5" s="12" t="s">
        <v>186</v>
      </c>
      <c r="H5" s="12" t="s">
        <v>39</v>
      </c>
      <c r="I5" s="12" t="str">
        <f>Tableau4[[#This Row],[Angle évalué]]&amp;"°"&amp;Tableau4[[#This Row],[Oreille]]</f>
        <v>90°G</v>
      </c>
    </row>
    <row r="6" spans="1:11" x14ac:dyDescent="0.25">
      <c r="A6" s="12">
        <v>1</v>
      </c>
      <c r="B6" s="12" t="str">
        <f>Tableau4[[#This Row],[Séquence]]&amp;C5:C6</f>
        <v>13</v>
      </c>
      <c r="C6" s="12">
        <v>3</v>
      </c>
      <c r="D6" s="12">
        <v>7</v>
      </c>
      <c r="E6" s="12" t="s">
        <v>187</v>
      </c>
      <c r="F6" s="12" t="s">
        <v>39</v>
      </c>
      <c r="G6" s="12" t="s">
        <v>185</v>
      </c>
      <c r="H6" s="12" t="s">
        <v>17</v>
      </c>
      <c r="I6" s="12" t="str">
        <f>Tableau4[[#This Row],[Angle évalué]]&amp;"°"&amp;Tableau4[[#This Row],[Oreille]]</f>
        <v>45°D</v>
      </c>
    </row>
    <row r="7" spans="1:11" x14ac:dyDescent="0.25">
      <c r="A7" s="12">
        <v>1</v>
      </c>
      <c r="B7" s="12" t="str">
        <f>Tableau4[[#This Row],[Séquence]]&amp;C6:C7</f>
        <v>14</v>
      </c>
      <c r="C7" s="12">
        <v>4</v>
      </c>
      <c r="D7" s="12">
        <v>6</v>
      </c>
      <c r="E7" s="12" t="s">
        <v>188</v>
      </c>
      <c r="F7" s="12" t="s">
        <v>17</v>
      </c>
      <c r="G7" s="12" t="s">
        <v>189</v>
      </c>
      <c r="H7" s="12"/>
      <c r="I7" s="12" t="str">
        <f>Tableau4[[#This Row],[Angle évalué]]&amp;"°"&amp;Tableau4[[#This Row],[Oreille]]</f>
        <v>180°</v>
      </c>
    </row>
    <row r="8" spans="1:11" x14ac:dyDescent="0.25">
      <c r="A8" s="12">
        <v>1</v>
      </c>
      <c r="B8" s="12" t="str">
        <f>Tableau4[[#This Row],[Séquence]]&amp;C7:C8</f>
        <v>15</v>
      </c>
      <c r="C8" s="12">
        <v>5</v>
      </c>
      <c r="D8" s="12">
        <v>7</v>
      </c>
      <c r="E8" s="12" t="s">
        <v>184</v>
      </c>
      <c r="F8" s="12" t="s">
        <v>17</v>
      </c>
      <c r="G8" s="12" t="s">
        <v>190</v>
      </c>
      <c r="H8" s="12" t="s">
        <v>17</v>
      </c>
      <c r="I8" s="12" t="str">
        <f>Tableau4[[#This Row],[Angle évalué]]&amp;"°"&amp;Tableau4[[#This Row],[Oreille]]</f>
        <v>45arr°D</v>
      </c>
    </row>
    <row r="9" spans="1:11" x14ac:dyDescent="0.25">
      <c r="A9" s="12">
        <v>1</v>
      </c>
      <c r="B9" s="12" t="str">
        <f>Tableau4[[#This Row],[Séquence]]&amp;C8:C9</f>
        <v>16</v>
      </c>
      <c r="C9" s="12">
        <v>6</v>
      </c>
      <c r="D9" s="12">
        <v>1</v>
      </c>
      <c r="E9" s="12" t="s">
        <v>188</v>
      </c>
      <c r="F9" s="12" t="s">
        <v>17</v>
      </c>
      <c r="G9" s="12" t="s">
        <v>185</v>
      </c>
      <c r="H9" s="12" t="s">
        <v>17</v>
      </c>
      <c r="I9" s="12" t="str">
        <f>Tableau4[[#This Row],[Angle évalué]]&amp;"°"&amp;Tableau4[[#This Row],[Oreille]]</f>
        <v>45°D</v>
      </c>
    </row>
    <row r="10" spans="1:11" x14ac:dyDescent="0.25">
      <c r="A10" s="12">
        <v>1</v>
      </c>
      <c r="B10" s="12" t="str">
        <f>Tableau4[[#This Row],[Séquence]]&amp;C9:C10</f>
        <v>17</v>
      </c>
      <c r="C10" s="12">
        <v>7</v>
      </c>
      <c r="D10" s="12">
        <v>6</v>
      </c>
      <c r="E10" s="12" t="s">
        <v>187</v>
      </c>
      <c r="F10" s="12" t="s">
        <v>39</v>
      </c>
      <c r="G10" s="12" t="s">
        <v>186</v>
      </c>
      <c r="H10" s="12" t="s">
        <v>17</v>
      </c>
      <c r="I10" s="12" t="str">
        <f>Tableau4[[#This Row],[Angle évalué]]&amp;"°"&amp;Tableau4[[#This Row],[Oreille]]</f>
        <v>90°D</v>
      </c>
    </row>
    <row r="11" spans="1:11" x14ac:dyDescent="0.25">
      <c r="A11" s="12">
        <v>1</v>
      </c>
      <c r="B11" s="12" t="str">
        <f>Tableau4[[#This Row],[Séquence]]&amp;C10:C11</f>
        <v>18</v>
      </c>
      <c r="C11" s="12">
        <v>8</v>
      </c>
      <c r="D11" s="12">
        <v>7</v>
      </c>
      <c r="E11" s="12" t="s">
        <v>191</v>
      </c>
      <c r="F11" s="12" t="s">
        <v>39</v>
      </c>
      <c r="G11" s="12" t="s">
        <v>185</v>
      </c>
      <c r="H11" s="12" t="s">
        <v>17</v>
      </c>
      <c r="I11" s="12" t="str">
        <f>Tableau4[[#This Row],[Angle évalué]]&amp;"°"&amp;Tableau4[[#This Row],[Oreille]]</f>
        <v>45°D</v>
      </c>
    </row>
    <row r="12" spans="1:11" x14ac:dyDescent="0.25">
      <c r="A12" s="12">
        <v>1</v>
      </c>
      <c r="B12" s="12" t="str">
        <f>Tableau4[[#This Row],[Séquence]]&amp;C11:C12</f>
        <v>19</v>
      </c>
      <c r="C12" s="12">
        <v>9</v>
      </c>
      <c r="D12" s="12">
        <v>4</v>
      </c>
      <c r="E12" s="12" t="s">
        <v>191</v>
      </c>
      <c r="F12" s="12" t="s">
        <v>17</v>
      </c>
      <c r="G12" s="12" t="s">
        <v>186</v>
      </c>
      <c r="H12" s="12" t="s">
        <v>39</v>
      </c>
      <c r="I12" s="12" t="str">
        <f>Tableau4[[#This Row],[Angle évalué]]&amp;"°"&amp;Tableau4[[#This Row],[Oreille]]</f>
        <v>90°G</v>
      </c>
    </row>
    <row r="13" spans="1:11" x14ac:dyDescent="0.25">
      <c r="A13" s="12">
        <v>1</v>
      </c>
      <c r="B13" s="12" t="str">
        <f>Tableau4[[#This Row],[Séquence]]&amp;C12:C13</f>
        <v>110</v>
      </c>
      <c r="C13" s="12">
        <v>10</v>
      </c>
      <c r="D13" s="12">
        <v>8</v>
      </c>
      <c r="E13" s="12" t="s">
        <v>188</v>
      </c>
      <c r="F13" s="12" t="s">
        <v>39</v>
      </c>
      <c r="G13" s="12" t="s">
        <v>192</v>
      </c>
      <c r="H13" s="12"/>
      <c r="I13" s="12" t="str">
        <f>Tableau4[[#This Row],[Angle évalué]]&amp;"°"&amp;Tableau4[[#This Row],[Oreille]]</f>
        <v>0°</v>
      </c>
    </row>
    <row r="14" spans="1:11" x14ac:dyDescent="0.25">
      <c r="A14" s="12">
        <v>1</v>
      </c>
      <c r="B14" s="12" t="str">
        <f>Tableau4[[#This Row],[Séquence]]&amp;C13:C14</f>
        <v>111</v>
      </c>
      <c r="C14" s="12">
        <v>11</v>
      </c>
      <c r="D14" s="12">
        <v>4</v>
      </c>
      <c r="E14" s="12" t="s">
        <v>184</v>
      </c>
      <c r="F14" s="12" t="s">
        <v>39</v>
      </c>
      <c r="G14" s="12" t="s">
        <v>189</v>
      </c>
      <c r="H14" s="12"/>
      <c r="I14" s="12" t="str">
        <f>Tableau4[[#This Row],[Angle évalué]]&amp;"°"&amp;Tableau4[[#This Row],[Oreille]]</f>
        <v>180°</v>
      </c>
    </row>
    <row r="15" spans="1:11" x14ac:dyDescent="0.25">
      <c r="A15" s="12">
        <v>1</v>
      </c>
      <c r="B15" s="12" t="str">
        <f>Tableau4[[#This Row],[Séquence]]&amp;C14:C15</f>
        <v>112</v>
      </c>
      <c r="C15" s="12">
        <v>12</v>
      </c>
      <c r="D15" s="12">
        <v>7</v>
      </c>
      <c r="E15" s="12" t="s">
        <v>188</v>
      </c>
      <c r="F15" s="12" t="s">
        <v>17</v>
      </c>
      <c r="G15" s="12" t="s">
        <v>190</v>
      </c>
      <c r="H15" s="12" t="s">
        <v>17</v>
      </c>
      <c r="I15" s="12" t="str">
        <f>Tableau4[[#This Row],[Angle évalué]]&amp;"°"&amp;Tableau4[[#This Row],[Oreille]]</f>
        <v>45arr°D</v>
      </c>
    </row>
    <row r="16" spans="1:11" x14ac:dyDescent="0.25">
      <c r="A16" s="12">
        <v>1</v>
      </c>
      <c r="B16" s="12" t="str">
        <f>Tableau4[[#This Row],[Séquence]]&amp;C15:C16</f>
        <v>113</v>
      </c>
      <c r="C16" s="12">
        <v>13</v>
      </c>
      <c r="D16" s="12">
        <v>5</v>
      </c>
      <c r="E16" s="12" t="s">
        <v>191</v>
      </c>
      <c r="F16" s="12" t="s">
        <v>39</v>
      </c>
      <c r="G16" s="12" t="s">
        <v>190</v>
      </c>
      <c r="H16" s="12" t="s">
        <v>17</v>
      </c>
      <c r="I16" s="12" t="str">
        <f>Tableau4[[#This Row],[Angle évalué]]&amp;"°"&amp;Tableau4[[#This Row],[Oreille]]</f>
        <v>45arr°D</v>
      </c>
    </row>
    <row r="17" spans="1:9" x14ac:dyDescent="0.25">
      <c r="A17" s="12">
        <v>1</v>
      </c>
      <c r="B17" s="12" t="str">
        <f>Tableau4[[#This Row],[Séquence]]&amp;C16:C17</f>
        <v>114</v>
      </c>
      <c r="C17" s="12">
        <v>14</v>
      </c>
      <c r="D17" s="12">
        <v>3</v>
      </c>
      <c r="E17" s="12" t="s">
        <v>187</v>
      </c>
      <c r="F17" s="12" t="s">
        <v>17</v>
      </c>
      <c r="G17" s="12" t="s">
        <v>185</v>
      </c>
      <c r="H17" s="12" t="s">
        <v>39</v>
      </c>
      <c r="I17" s="12" t="str">
        <f>Tableau4[[#This Row],[Angle évalué]]&amp;"°"&amp;Tableau4[[#This Row],[Oreille]]</f>
        <v>45°G</v>
      </c>
    </row>
    <row r="18" spans="1:9" x14ac:dyDescent="0.25">
      <c r="A18" s="12">
        <v>1</v>
      </c>
      <c r="B18" s="12" t="str">
        <f>Tableau4[[#This Row],[Séquence]]&amp;C17:C18</f>
        <v>115</v>
      </c>
      <c r="C18" s="12">
        <v>15</v>
      </c>
      <c r="D18" s="12">
        <v>2</v>
      </c>
      <c r="E18" s="12" t="s">
        <v>188</v>
      </c>
      <c r="F18" s="12" t="s">
        <v>39</v>
      </c>
      <c r="G18" s="12" t="s">
        <v>186</v>
      </c>
      <c r="H18" s="12" t="s">
        <v>39</v>
      </c>
      <c r="I18" s="12" t="str">
        <f>Tableau4[[#This Row],[Angle évalué]]&amp;"°"&amp;Tableau4[[#This Row],[Oreille]]</f>
        <v>90°G</v>
      </c>
    </row>
    <row r="19" spans="1:9" x14ac:dyDescent="0.25">
      <c r="A19" s="12">
        <v>1</v>
      </c>
      <c r="B19" s="12" t="str">
        <f>Tableau4[[#This Row],[Séquence]]&amp;C18:C19</f>
        <v>116</v>
      </c>
      <c r="C19" s="12">
        <v>16</v>
      </c>
      <c r="D19" s="12">
        <v>5</v>
      </c>
      <c r="E19" s="12" t="s">
        <v>187</v>
      </c>
      <c r="F19" s="12" t="s">
        <v>17</v>
      </c>
      <c r="G19" s="12" t="s">
        <v>190</v>
      </c>
      <c r="H19" s="12" t="s">
        <v>39</v>
      </c>
      <c r="I19" s="12" t="str">
        <f>Tableau4[[#This Row],[Angle évalué]]&amp;"°"&amp;Tableau4[[#This Row],[Oreille]]</f>
        <v>45arr°G</v>
      </c>
    </row>
    <row r="20" spans="1:9" x14ac:dyDescent="0.25">
      <c r="A20" s="12">
        <v>1</v>
      </c>
      <c r="B20" s="12" t="str">
        <f>Tableau4[[#This Row],[Séquence]]&amp;C19:C20</f>
        <v>117</v>
      </c>
      <c r="C20" s="12">
        <v>17</v>
      </c>
      <c r="D20" s="12">
        <v>3</v>
      </c>
      <c r="E20" s="12" t="s">
        <v>184</v>
      </c>
      <c r="F20" s="12" t="s">
        <v>39</v>
      </c>
      <c r="G20" s="12" t="s">
        <v>190</v>
      </c>
      <c r="H20" s="12" t="s">
        <v>39</v>
      </c>
      <c r="I20" s="12" t="str">
        <f>Tableau4[[#This Row],[Angle évalué]]&amp;"°"&amp;Tableau4[[#This Row],[Oreille]]</f>
        <v>45arr°G</v>
      </c>
    </row>
    <row r="21" spans="1:9" x14ac:dyDescent="0.25">
      <c r="A21" s="12">
        <v>1</v>
      </c>
      <c r="B21" s="12" t="str">
        <f>Tableau4[[#This Row],[Séquence]]&amp;C20:C21</f>
        <v>118</v>
      </c>
      <c r="C21" s="12">
        <v>18</v>
      </c>
      <c r="D21" s="12">
        <v>1</v>
      </c>
      <c r="E21" s="12" t="s">
        <v>188</v>
      </c>
      <c r="F21" s="12" t="s">
        <v>39</v>
      </c>
      <c r="G21" s="12" t="s">
        <v>185</v>
      </c>
      <c r="H21" s="12" t="s">
        <v>39</v>
      </c>
      <c r="I21" s="12" t="str">
        <f>Tableau4[[#This Row],[Angle évalué]]&amp;"°"&amp;Tableau4[[#This Row],[Oreille]]</f>
        <v>45°G</v>
      </c>
    </row>
    <row r="22" spans="1:9" x14ac:dyDescent="0.25">
      <c r="A22" s="12">
        <v>1</v>
      </c>
      <c r="B22" s="12" t="str">
        <f>Tableau4[[#This Row],[Séquence]]&amp;C21:C22</f>
        <v>119</v>
      </c>
      <c r="C22" s="12">
        <v>19</v>
      </c>
      <c r="D22" s="12">
        <v>6</v>
      </c>
      <c r="E22" s="12" t="s">
        <v>191</v>
      </c>
      <c r="F22" s="12" t="s">
        <v>17</v>
      </c>
      <c r="G22" s="12" t="s">
        <v>189</v>
      </c>
      <c r="H22" s="12"/>
      <c r="I22" s="12" t="str">
        <f>Tableau4[[#This Row],[Angle évalué]]&amp;"°"&amp;Tableau4[[#This Row],[Oreille]]</f>
        <v>180°</v>
      </c>
    </row>
    <row r="23" spans="1:9" x14ac:dyDescent="0.25">
      <c r="A23" s="12">
        <v>1</v>
      </c>
      <c r="B23" s="12" t="str">
        <f>Tableau4[[#This Row],[Séquence]]&amp;C22:C23</f>
        <v>120</v>
      </c>
      <c r="C23" s="12">
        <v>20</v>
      </c>
      <c r="D23" s="12">
        <v>3</v>
      </c>
      <c r="E23" s="12" t="s">
        <v>188</v>
      </c>
      <c r="F23" s="12" t="s">
        <v>39</v>
      </c>
      <c r="G23" s="12" t="s">
        <v>190</v>
      </c>
      <c r="H23" s="12" t="s">
        <v>39</v>
      </c>
      <c r="I23" s="12" t="str">
        <f>Tableau4[[#This Row],[Angle évalué]]&amp;"°"&amp;Tableau4[[#This Row],[Oreille]]</f>
        <v>45arr°G</v>
      </c>
    </row>
    <row r="24" spans="1:9" x14ac:dyDescent="0.25">
      <c r="A24" s="12">
        <v>1</v>
      </c>
      <c r="B24" s="12" t="str">
        <f>Tableau4[[#This Row],[Séquence]]&amp;C23:C24</f>
        <v>121</v>
      </c>
      <c r="C24" s="12">
        <v>21</v>
      </c>
      <c r="D24" s="12">
        <v>4</v>
      </c>
      <c r="E24" s="12" t="s">
        <v>187</v>
      </c>
      <c r="F24" s="12" t="s">
        <v>17</v>
      </c>
      <c r="G24" s="12" t="s">
        <v>186</v>
      </c>
      <c r="H24" s="12" t="s">
        <v>39</v>
      </c>
      <c r="I24" s="12" t="str">
        <f>Tableau4[[#This Row],[Angle évalué]]&amp;"°"&amp;Tableau4[[#This Row],[Oreille]]</f>
        <v>90°G</v>
      </c>
    </row>
    <row r="25" spans="1:9" x14ac:dyDescent="0.25">
      <c r="A25" s="12">
        <v>1</v>
      </c>
      <c r="B25" s="12" t="str">
        <f>Tableau4[[#This Row],[Séquence]]&amp;C24:C25</f>
        <v>122</v>
      </c>
      <c r="C25" s="12">
        <v>22</v>
      </c>
      <c r="D25" s="12">
        <v>8</v>
      </c>
      <c r="E25" s="12" t="s">
        <v>191</v>
      </c>
      <c r="F25" s="12" t="s">
        <v>39</v>
      </c>
      <c r="G25" s="12" t="s">
        <v>192</v>
      </c>
      <c r="H25" s="12"/>
      <c r="I25" s="12" t="str">
        <f>Tableau4[[#This Row],[Angle évalué]]&amp;"°"&amp;Tableau4[[#This Row],[Oreille]]</f>
        <v>0°</v>
      </c>
    </row>
    <row r="26" spans="1:9" x14ac:dyDescent="0.25">
      <c r="A26" s="12">
        <v>1</v>
      </c>
      <c r="B26" s="12" t="str">
        <f>Tableau4[[#This Row],[Séquence]]&amp;C25:C26</f>
        <v>123</v>
      </c>
      <c r="C26" s="12">
        <v>23</v>
      </c>
      <c r="D26" s="12">
        <v>2</v>
      </c>
      <c r="E26" s="12" t="s">
        <v>187</v>
      </c>
      <c r="F26" s="12" t="s">
        <v>17</v>
      </c>
      <c r="G26" s="12" t="s">
        <v>192</v>
      </c>
      <c r="H26" s="12"/>
      <c r="I26" s="12" t="str">
        <f>Tableau4[[#This Row],[Angle évalué]]&amp;"°"&amp;Tableau4[[#This Row],[Oreille]]</f>
        <v>0°</v>
      </c>
    </row>
    <row r="27" spans="1:9" x14ac:dyDescent="0.25">
      <c r="A27" s="12">
        <v>1</v>
      </c>
      <c r="B27" s="12" t="str">
        <f>Tableau4[[#This Row],[Séquence]]&amp;C26:C27</f>
        <v>124</v>
      </c>
      <c r="C27" s="12">
        <v>24</v>
      </c>
      <c r="D27" s="12">
        <v>1</v>
      </c>
      <c r="E27" s="12" t="s">
        <v>184</v>
      </c>
      <c r="F27" s="12" t="s">
        <v>39</v>
      </c>
      <c r="G27" s="12" t="s">
        <v>185</v>
      </c>
      <c r="H27" s="12" t="s">
        <v>39</v>
      </c>
      <c r="I27" s="12" t="str">
        <f>Tableau4[[#This Row],[Angle évalué]]&amp;"°"&amp;Tableau4[[#This Row],[Oreille]]</f>
        <v>45°G</v>
      </c>
    </row>
    <row r="28" spans="1:9" x14ac:dyDescent="0.25">
      <c r="A28" s="12">
        <v>1</v>
      </c>
      <c r="B28" s="12" t="str">
        <f>Tableau4[[#This Row],[Séquence]]&amp;C27:C28</f>
        <v>125</v>
      </c>
      <c r="C28" s="12">
        <v>25</v>
      </c>
      <c r="D28" s="12">
        <v>8</v>
      </c>
      <c r="E28" s="12" t="s">
        <v>188</v>
      </c>
      <c r="F28" s="12" t="s">
        <v>17</v>
      </c>
      <c r="G28" s="12" t="s">
        <v>186</v>
      </c>
      <c r="H28" s="12" t="s">
        <v>17</v>
      </c>
      <c r="I28" s="12" t="str">
        <f>Tableau4[[#This Row],[Angle évalué]]&amp;"°"&amp;Tableau4[[#This Row],[Oreille]]</f>
        <v>90°D</v>
      </c>
    </row>
    <row r="29" spans="1:9" x14ac:dyDescent="0.25">
      <c r="A29" s="12">
        <v>1</v>
      </c>
      <c r="B29" s="12" t="str">
        <f>Tableau4[[#This Row],[Séquence]]&amp;C28:C29</f>
        <v>126</v>
      </c>
      <c r="C29" s="12">
        <v>26</v>
      </c>
      <c r="D29" s="12">
        <v>5</v>
      </c>
      <c r="E29" s="12" t="s">
        <v>191</v>
      </c>
      <c r="F29" s="12" t="s">
        <v>17</v>
      </c>
      <c r="G29" s="12" t="s">
        <v>190</v>
      </c>
      <c r="H29" s="12" t="s">
        <v>39</v>
      </c>
      <c r="I29" s="12" t="str">
        <f>Tableau4[[#This Row],[Angle évalué]]&amp;"°"&amp;Tableau4[[#This Row],[Oreille]]</f>
        <v>45arr°G</v>
      </c>
    </row>
    <row r="30" spans="1:9" x14ac:dyDescent="0.25">
      <c r="A30" s="12">
        <v>1</v>
      </c>
      <c r="B30" s="12" t="str">
        <f>Tableau4[[#This Row],[Séquence]]&amp;C29:C30</f>
        <v>127</v>
      </c>
      <c r="C30" s="12">
        <v>27</v>
      </c>
      <c r="D30" s="12">
        <v>6</v>
      </c>
      <c r="E30" s="12" t="s">
        <v>191</v>
      </c>
      <c r="F30" s="12" t="s">
        <v>39</v>
      </c>
      <c r="G30" s="12" t="s">
        <v>186</v>
      </c>
      <c r="H30" s="12" t="s">
        <v>17</v>
      </c>
      <c r="I30" s="12" t="str">
        <f>Tableau4[[#This Row],[Angle évalué]]&amp;"°"&amp;Tableau4[[#This Row],[Oreille]]</f>
        <v>90°D</v>
      </c>
    </row>
    <row r="31" spans="1:9" x14ac:dyDescent="0.25">
      <c r="A31" s="12">
        <v>1</v>
      </c>
      <c r="B31" s="12" t="str">
        <f>Tableau4[[#This Row],[Séquence]]&amp;C30:C31</f>
        <v>128</v>
      </c>
      <c r="C31" s="12">
        <v>28</v>
      </c>
      <c r="D31" s="12">
        <v>5</v>
      </c>
      <c r="E31" s="12" t="s">
        <v>187</v>
      </c>
      <c r="F31" s="12" t="s">
        <v>39</v>
      </c>
      <c r="G31" s="12" t="s">
        <v>190</v>
      </c>
      <c r="H31" s="12" t="s">
        <v>17</v>
      </c>
      <c r="I31" s="12" t="str">
        <f>Tableau4[[#This Row],[Angle évalué]]&amp;"°"&amp;Tableau4[[#This Row],[Oreille]]</f>
        <v>45arr°D</v>
      </c>
    </row>
    <row r="32" spans="1:9" x14ac:dyDescent="0.25">
      <c r="A32" s="12">
        <v>1</v>
      </c>
      <c r="B32" s="12" t="str">
        <f>Tableau4[[#This Row],[Séquence]]&amp;C31:C32</f>
        <v>129</v>
      </c>
      <c r="C32" s="12">
        <v>29</v>
      </c>
      <c r="D32" s="12">
        <v>2</v>
      </c>
      <c r="E32" s="12" t="s">
        <v>184</v>
      </c>
      <c r="F32" s="12" t="s">
        <v>17</v>
      </c>
      <c r="G32" s="12" t="s">
        <v>192</v>
      </c>
      <c r="H32" s="12"/>
      <c r="I32" s="12" t="str">
        <f>Tableau4[[#This Row],[Angle évalué]]&amp;"°"&amp;Tableau4[[#This Row],[Oreille]]</f>
        <v>0°</v>
      </c>
    </row>
    <row r="33" spans="1:9" x14ac:dyDescent="0.25">
      <c r="A33" s="12">
        <v>1</v>
      </c>
      <c r="B33" s="12" t="str">
        <f>Tableau4[[#This Row],[Séquence]]&amp;C32:C33</f>
        <v>130</v>
      </c>
      <c r="C33" s="12">
        <v>30</v>
      </c>
      <c r="D33" s="12">
        <v>3</v>
      </c>
      <c r="E33" s="12" t="s">
        <v>191</v>
      </c>
      <c r="F33" s="12" t="s">
        <v>17</v>
      </c>
      <c r="G33" s="12" t="s">
        <v>185</v>
      </c>
      <c r="H33" s="12" t="s">
        <v>39</v>
      </c>
      <c r="I33" s="12" t="str">
        <f>Tableau4[[#This Row],[Angle évalué]]&amp;"°"&amp;Tableau4[[#This Row],[Oreille]]</f>
        <v>45°G</v>
      </c>
    </row>
    <row r="34" spans="1:9" x14ac:dyDescent="0.25">
      <c r="A34" s="12">
        <v>1</v>
      </c>
      <c r="B34" s="12" t="str">
        <f>Tableau4[[#This Row],[Séquence]]&amp;C33:C34</f>
        <v>131</v>
      </c>
      <c r="C34" s="12">
        <v>31</v>
      </c>
      <c r="D34" s="12">
        <v>4</v>
      </c>
      <c r="E34" s="12" t="s">
        <v>187</v>
      </c>
      <c r="F34" s="12" t="s">
        <v>39</v>
      </c>
      <c r="G34" s="12" t="s">
        <v>189</v>
      </c>
      <c r="H34" s="12"/>
      <c r="I34" s="12" t="str">
        <f>Tableau4[[#This Row],[Angle évalué]]&amp;"°"&amp;Tableau4[[#This Row],[Oreille]]</f>
        <v>180°</v>
      </c>
    </row>
    <row r="35" spans="1:9" x14ac:dyDescent="0.25">
      <c r="A35" s="12">
        <v>1</v>
      </c>
      <c r="B35" s="12" t="str">
        <f>Tableau4[[#This Row],[Séquence]]&amp;C34:C35</f>
        <v>132</v>
      </c>
      <c r="C35" s="12">
        <v>32</v>
      </c>
      <c r="D35" s="12">
        <v>8</v>
      </c>
      <c r="E35" s="12" t="s">
        <v>184</v>
      </c>
      <c r="F35" s="12" t="s">
        <v>17</v>
      </c>
      <c r="G35" s="12" t="s">
        <v>186</v>
      </c>
      <c r="H35" s="12" t="s">
        <v>17</v>
      </c>
      <c r="I35" s="12" t="str">
        <f>Tableau4[[#This Row],[Angle évalué]]&amp;"°"&amp;Tableau4[[#This Row],[Oreille]]</f>
        <v>90°D</v>
      </c>
    </row>
    <row r="36" spans="1:9" x14ac:dyDescent="0.25">
      <c r="A36" s="12">
        <v>1</v>
      </c>
      <c r="B36" s="12" t="str">
        <f>Tableau4[[#This Row],[Séquence]]&amp;C35:C36</f>
        <v>133</v>
      </c>
      <c r="C36" s="12">
        <v>33</v>
      </c>
      <c r="D36" s="12">
        <v>8</v>
      </c>
      <c r="E36" s="12" t="s">
        <v>184</v>
      </c>
      <c r="F36" s="12" t="s">
        <v>17</v>
      </c>
      <c r="G36" s="12" t="s">
        <v>186</v>
      </c>
      <c r="H36" s="12" t="s">
        <v>17</v>
      </c>
      <c r="I36" s="12" t="str">
        <f>Tableau4[[#This Row],[Angle évalué]]&amp;"°"&amp;Tableau4[[#This Row],[Oreille]]</f>
        <v>90°D</v>
      </c>
    </row>
    <row r="37" spans="1:9" x14ac:dyDescent="0.25">
      <c r="A37" s="12">
        <v>1</v>
      </c>
      <c r="B37" s="12" t="str">
        <f>Tableau4[[#This Row],[Séquence]]&amp;C36:C37</f>
        <v>134</v>
      </c>
      <c r="C37" s="12">
        <v>34</v>
      </c>
      <c r="D37" s="12">
        <v>4</v>
      </c>
      <c r="E37" s="12" t="s">
        <v>187</v>
      </c>
      <c r="F37" s="12" t="s">
        <v>39</v>
      </c>
      <c r="G37" s="12" t="s">
        <v>189</v>
      </c>
      <c r="H37" s="12"/>
      <c r="I37" s="12" t="str">
        <f>Tableau4[[#This Row],[Angle évalué]]&amp;"°"&amp;Tableau4[[#This Row],[Oreille]]</f>
        <v>180°</v>
      </c>
    </row>
    <row r="38" spans="1:9" x14ac:dyDescent="0.25">
      <c r="A38" s="12">
        <v>1</v>
      </c>
      <c r="B38" s="12" t="str">
        <f>Tableau4[[#This Row],[Séquence]]&amp;C37:C38</f>
        <v>135</v>
      </c>
      <c r="C38" s="12">
        <v>35</v>
      </c>
      <c r="D38" s="12">
        <v>3</v>
      </c>
      <c r="E38" s="12" t="s">
        <v>191</v>
      </c>
      <c r="F38" s="12" t="s">
        <v>17</v>
      </c>
      <c r="G38" s="12" t="s">
        <v>185</v>
      </c>
      <c r="H38" s="12" t="s">
        <v>39</v>
      </c>
      <c r="I38" s="12" t="str">
        <f>Tableau4[[#This Row],[Angle évalué]]&amp;"°"&amp;Tableau4[[#This Row],[Oreille]]</f>
        <v>45°G</v>
      </c>
    </row>
    <row r="39" spans="1:9" x14ac:dyDescent="0.25">
      <c r="A39" s="12">
        <v>1</v>
      </c>
      <c r="B39" s="12" t="str">
        <f>Tableau4[[#This Row],[Séquence]]&amp;C38:C39</f>
        <v>136</v>
      </c>
      <c r="C39" s="12">
        <v>36</v>
      </c>
      <c r="D39" s="12">
        <v>2</v>
      </c>
      <c r="E39" s="12" t="s">
        <v>184</v>
      </c>
      <c r="F39" s="12" t="s">
        <v>17</v>
      </c>
      <c r="G39" s="12" t="s">
        <v>192</v>
      </c>
      <c r="H39" s="12"/>
      <c r="I39" s="12" t="str">
        <f>Tableau4[[#This Row],[Angle évalué]]&amp;"°"&amp;Tableau4[[#This Row],[Oreille]]</f>
        <v>0°</v>
      </c>
    </row>
    <row r="40" spans="1:9" x14ac:dyDescent="0.25">
      <c r="A40" s="12">
        <v>1</v>
      </c>
      <c r="B40" s="12" t="str">
        <f>Tableau4[[#This Row],[Séquence]]&amp;C39:C40</f>
        <v>137</v>
      </c>
      <c r="C40" s="12">
        <v>37</v>
      </c>
      <c r="D40" s="12">
        <v>5</v>
      </c>
      <c r="E40" s="12" t="s">
        <v>187</v>
      </c>
      <c r="F40" s="12" t="s">
        <v>39</v>
      </c>
      <c r="G40" s="12" t="s">
        <v>190</v>
      </c>
      <c r="H40" s="12" t="s">
        <v>17</v>
      </c>
      <c r="I40" s="12" t="str">
        <f>Tableau4[[#This Row],[Angle évalué]]&amp;"°"&amp;Tableau4[[#This Row],[Oreille]]</f>
        <v>45arr°D</v>
      </c>
    </row>
    <row r="41" spans="1:9" x14ac:dyDescent="0.25">
      <c r="A41" s="12">
        <v>1</v>
      </c>
      <c r="B41" s="12" t="str">
        <f>Tableau4[[#This Row],[Séquence]]&amp;C40:C41</f>
        <v>138</v>
      </c>
      <c r="C41" s="12">
        <v>38</v>
      </c>
      <c r="D41" s="12">
        <v>6</v>
      </c>
      <c r="E41" s="12" t="s">
        <v>191</v>
      </c>
      <c r="F41" s="12" t="s">
        <v>39</v>
      </c>
      <c r="G41" s="12" t="s">
        <v>186</v>
      </c>
      <c r="H41" s="12" t="s">
        <v>17</v>
      </c>
      <c r="I41" s="12" t="str">
        <f>Tableau4[[#This Row],[Angle évalué]]&amp;"°"&amp;Tableau4[[#This Row],[Oreille]]</f>
        <v>90°D</v>
      </c>
    </row>
    <row r="42" spans="1:9" x14ac:dyDescent="0.25">
      <c r="A42" s="12">
        <v>1</v>
      </c>
      <c r="B42" s="12" t="str">
        <f>Tableau4[[#This Row],[Séquence]]&amp;C41:C42</f>
        <v>139</v>
      </c>
      <c r="C42" s="12">
        <v>39</v>
      </c>
      <c r="D42" s="12">
        <v>5</v>
      </c>
      <c r="E42" s="12" t="s">
        <v>191</v>
      </c>
      <c r="F42" s="12" t="s">
        <v>17</v>
      </c>
      <c r="G42" s="12" t="s">
        <v>190</v>
      </c>
      <c r="H42" s="12" t="s">
        <v>39</v>
      </c>
      <c r="I42" s="12" t="str">
        <f>Tableau4[[#This Row],[Angle évalué]]&amp;"°"&amp;Tableau4[[#This Row],[Oreille]]</f>
        <v>45arr°G</v>
      </c>
    </row>
    <row r="43" spans="1:9" x14ac:dyDescent="0.25">
      <c r="A43" s="12">
        <v>1</v>
      </c>
      <c r="B43" s="12" t="str">
        <f>Tableau4[[#This Row],[Séquence]]&amp;C42:C43</f>
        <v>140</v>
      </c>
      <c r="C43" s="12">
        <v>40</v>
      </c>
      <c r="D43" s="12">
        <v>8</v>
      </c>
      <c r="E43" s="12" t="s">
        <v>188</v>
      </c>
      <c r="F43" s="12" t="s">
        <v>17</v>
      </c>
      <c r="G43" s="12" t="s">
        <v>186</v>
      </c>
      <c r="H43" s="12" t="s">
        <v>17</v>
      </c>
      <c r="I43" s="12" t="str">
        <f>Tableau4[[#This Row],[Angle évalué]]&amp;"°"&amp;Tableau4[[#This Row],[Oreille]]</f>
        <v>90°D</v>
      </c>
    </row>
    <row r="44" spans="1:9" x14ac:dyDescent="0.25">
      <c r="A44" s="12">
        <v>1</v>
      </c>
      <c r="B44" s="12" t="str">
        <f>Tableau4[[#This Row],[Séquence]]&amp;C43:C44</f>
        <v>141</v>
      </c>
      <c r="C44" s="12">
        <v>41</v>
      </c>
      <c r="D44" s="12">
        <v>1</v>
      </c>
      <c r="E44" s="12" t="s">
        <v>184</v>
      </c>
      <c r="F44" s="12" t="s">
        <v>39</v>
      </c>
      <c r="G44" s="12" t="s">
        <v>185</v>
      </c>
      <c r="H44" s="12" t="s">
        <v>39</v>
      </c>
      <c r="I44" s="12" t="str">
        <f>Tableau4[[#This Row],[Angle évalué]]&amp;"°"&amp;Tableau4[[#This Row],[Oreille]]</f>
        <v>45°G</v>
      </c>
    </row>
    <row r="45" spans="1:9" x14ac:dyDescent="0.25">
      <c r="A45" s="12">
        <v>1</v>
      </c>
      <c r="B45" s="12" t="str">
        <f>Tableau4[[#This Row],[Séquence]]&amp;C44:C45</f>
        <v>142</v>
      </c>
      <c r="C45" s="12">
        <v>42</v>
      </c>
      <c r="D45" s="12">
        <v>2</v>
      </c>
      <c r="E45" s="12" t="s">
        <v>187</v>
      </c>
      <c r="F45" s="12" t="s">
        <v>17</v>
      </c>
      <c r="G45" s="12" t="s">
        <v>192</v>
      </c>
      <c r="H45" s="12"/>
      <c r="I45" s="12" t="str">
        <f>Tableau4[[#This Row],[Angle évalué]]&amp;"°"&amp;Tableau4[[#This Row],[Oreille]]</f>
        <v>0°</v>
      </c>
    </row>
    <row r="46" spans="1:9" x14ac:dyDescent="0.25">
      <c r="A46" s="12">
        <v>1</v>
      </c>
      <c r="B46" s="12" t="str">
        <f>Tableau4[[#This Row],[Séquence]]&amp;C45:C46</f>
        <v>143</v>
      </c>
      <c r="C46" s="12">
        <v>43</v>
      </c>
      <c r="D46" s="12">
        <v>8</v>
      </c>
      <c r="E46" s="12" t="s">
        <v>191</v>
      </c>
      <c r="F46" s="12" t="s">
        <v>39</v>
      </c>
      <c r="G46" s="12" t="s">
        <v>192</v>
      </c>
      <c r="H46" s="12"/>
      <c r="I46" s="12" t="str">
        <f>Tableau4[[#This Row],[Angle évalué]]&amp;"°"&amp;Tableau4[[#This Row],[Oreille]]</f>
        <v>0°</v>
      </c>
    </row>
    <row r="47" spans="1:9" x14ac:dyDescent="0.25">
      <c r="A47" s="12">
        <v>1</v>
      </c>
      <c r="B47" s="12" t="str">
        <f>Tableau4[[#This Row],[Séquence]]&amp;C46:C47</f>
        <v>144</v>
      </c>
      <c r="C47" s="12">
        <v>44</v>
      </c>
      <c r="D47" s="12">
        <v>4</v>
      </c>
      <c r="E47" s="12" t="s">
        <v>187</v>
      </c>
      <c r="F47" s="12" t="s">
        <v>17</v>
      </c>
      <c r="G47" s="12" t="s">
        <v>186</v>
      </c>
      <c r="H47" s="12" t="s">
        <v>39</v>
      </c>
      <c r="I47" s="12" t="str">
        <f>Tableau4[[#This Row],[Angle évalué]]&amp;"°"&amp;Tableau4[[#This Row],[Oreille]]</f>
        <v>90°G</v>
      </c>
    </row>
    <row r="48" spans="1:9" x14ac:dyDescent="0.25">
      <c r="A48" s="12">
        <v>1</v>
      </c>
      <c r="B48" s="12" t="str">
        <f>Tableau4[[#This Row],[Séquence]]&amp;C47:C48</f>
        <v>145</v>
      </c>
      <c r="C48" s="12">
        <v>45</v>
      </c>
      <c r="D48" s="12">
        <v>3</v>
      </c>
      <c r="E48" s="12" t="s">
        <v>188</v>
      </c>
      <c r="F48" s="12" t="s">
        <v>39</v>
      </c>
      <c r="G48" s="12" t="s">
        <v>190</v>
      </c>
      <c r="H48" s="12" t="s">
        <v>39</v>
      </c>
      <c r="I48" s="12" t="str">
        <f>Tableau4[[#This Row],[Angle évalué]]&amp;"°"&amp;Tableau4[[#This Row],[Oreille]]</f>
        <v>45arr°G</v>
      </c>
    </row>
    <row r="49" spans="1:9" x14ac:dyDescent="0.25">
      <c r="A49" s="12">
        <v>1</v>
      </c>
      <c r="B49" s="12" t="str">
        <f>Tableau4[[#This Row],[Séquence]]&amp;C48:C49</f>
        <v>146</v>
      </c>
      <c r="C49" s="12">
        <v>46</v>
      </c>
      <c r="D49" s="12">
        <v>6</v>
      </c>
      <c r="E49" s="12" t="s">
        <v>191</v>
      </c>
      <c r="F49" s="12" t="s">
        <v>17</v>
      </c>
      <c r="G49" s="12" t="s">
        <v>189</v>
      </c>
      <c r="H49" s="12"/>
      <c r="I49" s="12" t="str">
        <f>Tableau4[[#This Row],[Angle évalué]]&amp;"°"&amp;Tableau4[[#This Row],[Oreille]]</f>
        <v>180°</v>
      </c>
    </row>
    <row r="50" spans="1:9" x14ac:dyDescent="0.25">
      <c r="A50" s="12">
        <v>1</v>
      </c>
      <c r="B50" s="12" t="str">
        <f>Tableau4[[#This Row],[Séquence]]&amp;C49:C50</f>
        <v>147</v>
      </c>
      <c r="C50" s="12">
        <v>47</v>
      </c>
      <c r="D50" s="12">
        <v>1</v>
      </c>
      <c r="E50" s="12" t="s">
        <v>188</v>
      </c>
      <c r="F50" s="12" t="s">
        <v>39</v>
      </c>
      <c r="G50" s="12" t="s">
        <v>185</v>
      </c>
      <c r="H50" s="12" t="s">
        <v>39</v>
      </c>
      <c r="I50" s="12" t="str">
        <f>Tableau4[[#This Row],[Angle évalué]]&amp;"°"&amp;Tableau4[[#This Row],[Oreille]]</f>
        <v>45°G</v>
      </c>
    </row>
    <row r="51" spans="1:9" x14ac:dyDescent="0.25">
      <c r="A51" s="12">
        <v>1</v>
      </c>
      <c r="B51" s="12" t="str">
        <f>Tableau4[[#This Row],[Séquence]]&amp;C50:C51</f>
        <v>148</v>
      </c>
      <c r="C51" s="12">
        <v>48</v>
      </c>
      <c r="D51" s="12">
        <v>3</v>
      </c>
      <c r="E51" s="12" t="s">
        <v>184</v>
      </c>
      <c r="F51" s="12" t="s">
        <v>39</v>
      </c>
      <c r="G51" s="12" t="s">
        <v>190</v>
      </c>
      <c r="H51" s="12" t="s">
        <v>39</v>
      </c>
      <c r="I51" s="12" t="str">
        <f>Tableau4[[#This Row],[Angle évalué]]&amp;"°"&amp;Tableau4[[#This Row],[Oreille]]</f>
        <v>45arr°G</v>
      </c>
    </row>
    <row r="52" spans="1:9" x14ac:dyDescent="0.25">
      <c r="A52" s="12">
        <v>1</v>
      </c>
      <c r="B52" s="12" t="str">
        <f>Tableau4[[#This Row],[Séquence]]&amp;C51:C52</f>
        <v>149</v>
      </c>
      <c r="C52" s="12">
        <v>49</v>
      </c>
      <c r="D52" s="12">
        <v>5</v>
      </c>
      <c r="E52" s="12" t="s">
        <v>187</v>
      </c>
      <c r="F52" s="12" t="s">
        <v>17</v>
      </c>
      <c r="G52" s="12" t="s">
        <v>190</v>
      </c>
      <c r="H52" s="12" t="s">
        <v>39</v>
      </c>
      <c r="I52" s="12" t="str">
        <f>Tableau4[[#This Row],[Angle évalué]]&amp;"°"&amp;Tableau4[[#This Row],[Oreille]]</f>
        <v>45arr°G</v>
      </c>
    </row>
    <row r="53" spans="1:9" x14ac:dyDescent="0.25">
      <c r="A53" s="12">
        <v>1</v>
      </c>
      <c r="B53" s="12" t="str">
        <f>Tableau4[[#This Row],[Séquence]]&amp;C52:C53</f>
        <v>150</v>
      </c>
      <c r="C53" s="12">
        <v>50</v>
      </c>
      <c r="D53" s="12">
        <v>2</v>
      </c>
      <c r="E53" s="12" t="s">
        <v>188</v>
      </c>
      <c r="F53" s="12" t="s">
        <v>39</v>
      </c>
      <c r="G53" s="12" t="s">
        <v>186</v>
      </c>
      <c r="H53" s="12" t="s">
        <v>39</v>
      </c>
      <c r="I53" s="12" t="str">
        <f>Tableau4[[#This Row],[Angle évalué]]&amp;"°"&amp;Tableau4[[#This Row],[Oreille]]</f>
        <v>90°G</v>
      </c>
    </row>
    <row r="54" spans="1:9" x14ac:dyDescent="0.25">
      <c r="A54" s="12">
        <v>1</v>
      </c>
      <c r="B54" s="12" t="str">
        <f>Tableau4[[#This Row],[Séquence]]&amp;C53:C54</f>
        <v>151</v>
      </c>
      <c r="C54" s="12">
        <v>51</v>
      </c>
      <c r="D54" s="12">
        <v>3</v>
      </c>
      <c r="E54" s="12" t="s">
        <v>187</v>
      </c>
      <c r="F54" s="12" t="s">
        <v>17</v>
      </c>
      <c r="G54" s="12" t="s">
        <v>185</v>
      </c>
      <c r="H54" s="12" t="s">
        <v>39</v>
      </c>
      <c r="I54" s="12" t="str">
        <f>Tableau4[[#This Row],[Angle évalué]]&amp;"°"&amp;Tableau4[[#This Row],[Oreille]]</f>
        <v>45°G</v>
      </c>
    </row>
    <row r="55" spans="1:9" x14ac:dyDescent="0.25">
      <c r="A55" s="12">
        <v>1</v>
      </c>
      <c r="B55" s="12" t="str">
        <f>Tableau4[[#This Row],[Séquence]]&amp;C54:C55</f>
        <v>152</v>
      </c>
      <c r="C55" s="12">
        <v>52</v>
      </c>
      <c r="D55" s="12">
        <v>5</v>
      </c>
      <c r="E55" s="12" t="s">
        <v>191</v>
      </c>
      <c r="F55" s="12" t="s">
        <v>39</v>
      </c>
      <c r="G55" s="12" t="s">
        <v>190</v>
      </c>
      <c r="H55" s="12" t="s">
        <v>17</v>
      </c>
      <c r="I55" s="12" t="str">
        <f>Tableau4[[#This Row],[Angle évalué]]&amp;"°"&amp;Tableau4[[#This Row],[Oreille]]</f>
        <v>45arr°D</v>
      </c>
    </row>
    <row r="56" spans="1:9" x14ac:dyDescent="0.25">
      <c r="A56" s="12">
        <v>1</v>
      </c>
      <c r="B56" s="12" t="str">
        <f>Tableau4[[#This Row],[Séquence]]&amp;C55:C56</f>
        <v>153</v>
      </c>
      <c r="C56" s="12">
        <v>53</v>
      </c>
      <c r="D56" s="12">
        <v>7</v>
      </c>
      <c r="E56" s="12" t="s">
        <v>188</v>
      </c>
      <c r="F56" s="12" t="s">
        <v>17</v>
      </c>
      <c r="G56" s="12" t="s">
        <v>190</v>
      </c>
      <c r="H56" s="12" t="s">
        <v>17</v>
      </c>
      <c r="I56" s="12" t="str">
        <f>Tableau4[[#This Row],[Angle évalué]]&amp;"°"&amp;Tableau4[[#This Row],[Oreille]]</f>
        <v>45arr°D</v>
      </c>
    </row>
    <row r="57" spans="1:9" x14ac:dyDescent="0.25">
      <c r="A57" s="12">
        <v>1</v>
      </c>
      <c r="B57" s="12" t="str">
        <f>Tableau4[[#This Row],[Séquence]]&amp;C56:C57</f>
        <v>154</v>
      </c>
      <c r="C57" s="12">
        <v>54</v>
      </c>
      <c r="D57" s="12">
        <v>4</v>
      </c>
      <c r="E57" s="12" t="s">
        <v>184</v>
      </c>
      <c r="F57" s="12" t="s">
        <v>39</v>
      </c>
      <c r="G57" s="12" t="s">
        <v>189</v>
      </c>
      <c r="H57" s="12"/>
      <c r="I57" s="12" t="str">
        <f>Tableau4[[#This Row],[Angle évalué]]&amp;"°"&amp;Tableau4[[#This Row],[Oreille]]</f>
        <v>180°</v>
      </c>
    </row>
    <row r="58" spans="1:9" x14ac:dyDescent="0.25">
      <c r="A58" s="12">
        <v>1</v>
      </c>
      <c r="B58" s="12" t="str">
        <f>Tableau4[[#This Row],[Séquence]]&amp;C57:C58</f>
        <v>155</v>
      </c>
      <c r="C58" s="12">
        <v>55</v>
      </c>
      <c r="D58" s="12">
        <v>8</v>
      </c>
      <c r="E58" s="12" t="s">
        <v>188</v>
      </c>
      <c r="F58" s="12" t="s">
        <v>39</v>
      </c>
      <c r="G58" s="12" t="s">
        <v>192</v>
      </c>
      <c r="H58" s="12"/>
      <c r="I58" s="12" t="str">
        <f>Tableau4[[#This Row],[Angle évalué]]&amp;"°"&amp;Tableau4[[#This Row],[Oreille]]</f>
        <v>0°</v>
      </c>
    </row>
    <row r="59" spans="1:9" x14ac:dyDescent="0.25">
      <c r="A59" s="12">
        <v>1</v>
      </c>
      <c r="B59" s="12" t="str">
        <f>Tableau4[[#This Row],[Séquence]]&amp;C58:C59</f>
        <v>156</v>
      </c>
      <c r="C59" s="12">
        <v>56</v>
      </c>
      <c r="D59" s="12">
        <v>4</v>
      </c>
      <c r="E59" s="12" t="s">
        <v>191</v>
      </c>
      <c r="F59" s="12" t="s">
        <v>17</v>
      </c>
      <c r="G59" s="12" t="s">
        <v>186</v>
      </c>
      <c r="H59" s="12" t="s">
        <v>39</v>
      </c>
      <c r="I59" s="12" t="str">
        <f>Tableau4[[#This Row],[Angle évalué]]&amp;"°"&amp;Tableau4[[#This Row],[Oreille]]</f>
        <v>90°G</v>
      </c>
    </row>
    <row r="60" spans="1:9" x14ac:dyDescent="0.25">
      <c r="A60" s="12">
        <v>1</v>
      </c>
      <c r="B60" s="12" t="str">
        <f>Tableau4[[#This Row],[Séquence]]&amp;C59:C60</f>
        <v>157</v>
      </c>
      <c r="C60" s="12">
        <v>57</v>
      </c>
      <c r="D60" s="12">
        <v>7</v>
      </c>
      <c r="E60" s="12" t="s">
        <v>191</v>
      </c>
      <c r="F60" s="12" t="s">
        <v>39</v>
      </c>
      <c r="G60" s="12" t="s">
        <v>185</v>
      </c>
      <c r="H60" s="12" t="s">
        <v>17</v>
      </c>
      <c r="I60" s="12" t="str">
        <f>Tableau4[[#This Row],[Angle évalué]]&amp;"°"&amp;Tableau4[[#This Row],[Oreille]]</f>
        <v>45°D</v>
      </c>
    </row>
    <row r="61" spans="1:9" x14ac:dyDescent="0.25">
      <c r="A61" s="12">
        <v>1</v>
      </c>
      <c r="B61" s="12" t="str">
        <f>Tableau4[[#This Row],[Séquence]]&amp;C60:C61</f>
        <v>158</v>
      </c>
      <c r="C61" s="12">
        <v>58</v>
      </c>
      <c r="D61" s="12">
        <v>6</v>
      </c>
      <c r="E61" s="12" t="s">
        <v>187</v>
      </c>
      <c r="F61" s="12" t="s">
        <v>39</v>
      </c>
      <c r="G61" s="12" t="s">
        <v>186</v>
      </c>
      <c r="H61" s="12" t="s">
        <v>17</v>
      </c>
      <c r="I61" s="12" t="str">
        <f>Tableau4[[#This Row],[Angle évalué]]&amp;"°"&amp;Tableau4[[#This Row],[Oreille]]</f>
        <v>90°D</v>
      </c>
    </row>
    <row r="62" spans="1:9" x14ac:dyDescent="0.25">
      <c r="A62" s="12">
        <v>1</v>
      </c>
      <c r="B62" s="12" t="str">
        <f>Tableau4[[#This Row],[Séquence]]&amp;C61:C62</f>
        <v>159</v>
      </c>
      <c r="C62" s="12">
        <v>59</v>
      </c>
      <c r="D62" s="12">
        <v>1</v>
      </c>
      <c r="E62" s="12" t="s">
        <v>188</v>
      </c>
      <c r="F62" s="12" t="s">
        <v>17</v>
      </c>
      <c r="G62" s="12" t="s">
        <v>185</v>
      </c>
      <c r="H62" s="12" t="s">
        <v>17</v>
      </c>
      <c r="I62" s="12" t="str">
        <f>Tableau4[[#This Row],[Angle évalué]]&amp;"°"&amp;Tableau4[[#This Row],[Oreille]]</f>
        <v>45°D</v>
      </c>
    </row>
    <row r="63" spans="1:9" x14ac:dyDescent="0.25">
      <c r="A63" s="12">
        <v>1</v>
      </c>
      <c r="B63" s="12" t="str">
        <f>Tableau4[[#This Row],[Séquence]]&amp;C62:C63</f>
        <v>160</v>
      </c>
      <c r="C63" s="12">
        <v>60</v>
      </c>
      <c r="D63" s="12">
        <v>7</v>
      </c>
      <c r="E63" s="12" t="s">
        <v>184</v>
      </c>
      <c r="F63" s="12" t="s">
        <v>17</v>
      </c>
      <c r="G63" s="12" t="s">
        <v>190</v>
      </c>
      <c r="H63" s="12" t="s">
        <v>17</v>
      </c>
      <c r="I63" s="12" t="str">
        <f>Tableau4[[#This Row],[Angle évalué]]&amp;"°"&amp;Tableau4[[#This Row],[Oreille]]</f>
        <v>45arr°D</v>
      </c>
    </row>
    <row r="64" spans="1:9" x14ac:dyDescent="0.25">
      <c r="A64" s="12">
        <v>1</v>
      </c>
      <c r="B64" s="12" t="str">
        <f>Tableau4[[#This Row],[Séquence]]&amp;C63:C64</f>
        <v>161</v>
      </c>
      <c r="C64" s="12">
        <v>61</v>
      </c>
      <c r="D64" s="12">
        <v>6</v>
      </c>
      <c r="E64" s="12" t="s">
        <v>188</v>
      </c>
      <c r="F64" s="12" t="s">
        <v>17</v>
      </c>
      <c r="G64" s="12" t="s">
        <v>189</v>
      </c>
      <c r="H64" s="12"/>
      <c r="I64" s="12" t="str">
        <f>Tableau4[[#This Row],[Angle évalué]]&amp;"°"&amp;Tableau4[[#This Row],[Oreille]]</f>
        <v>180°</v>
      </c>
    </row>
    <row r="65" spans="1:9" x14ac:dyDescent="0.25">
      <c r="A65" s="12">
        <v>1</v>
      </c>
      <c r="B65" s="12" t="str">
        <f>Tableau4[[#This Row],[Séquence]]&amp;C64:C65</f>
        <v>162</v>
      </c>
      <c r="C65" s="12">
        <v>62</v>
      </c>
      <c r="D65" s="12">
        <v>7</v>
      </c>
      <c r="E65" s="12" t="s">
        <v>187</v>
      </c>
      <c r="F65" s="12" t="s">
        <v>39</v>
      </c>
      <c r="G65" s="12" t="s">
        <v>185</v>
      </c>
      <c r="H65" s="12" t="s">
        <v>17</v>
      </c>
      <c r="I65" s="12" t="str">
        <f>Tableau4[[#This Row],[Angle évalué]]&amp;"°"&amp;Tableau4[[#This Row],[Oreille]]</f>
        <v>45°D</v>
      </c>
    </row>
    <row r="66" spans="1:9" x14ac:dyDescent="0.25">
      <c r="A66" s="12">
        <v>1</v>
      </c>
      <c r="B66" s="12" t="str">
        <f>Tableau4[[#This Row],[Séquence]]&amp;C65:C66</f>
        <v>163</v>
      </c>
      <c r="C66" s="12">
        <v>63</v>
      </c>
      <c r="D66" s="12">
        <v>2</v>
      </c>
      <c r="E66" s="12" t="s">
        <v>184</v>
      </c>
      <c r="F66" s="12" t="s">
        <v>39</v>
      </c>
      <c r="G66" s="12" t="s">
        <v>186</v>
      </c>
      <c r="H66" s="12" t="s">
        <v>39</v>
      </c>
      <c r="I66" s="12" t="str">
        <f>Tableau4[[#This Row],[Angle évalué]]&amp;"°"&amp;Tableau4[[#This Row],[Oreille]]</f>
        <v>90°G</v>
      </c>
    </row>
    <row r="67" spans="1:9" x14ac:dyDescent="0.25">
      <c r="A67" s="12">
        <v>1</v>
      </c>
      <c r="B67" s="12" t="str">
        <f>Tableau4[[#This Row],[Séquence]]&amp;C66:C67</f>
        <v>164</v>
      </c>
      <c r="C67" s="12">
        <v>64</v>
      </c>
      <c r="D67" s="12">
        <v>1</v>
      </c>
      <c r="E67" s="12" t="s">
        <v>184</v>
      </c>
      <c r="F67" s="12" t="s">
        <v>17</v>
      </c>
      <c r="G67" s="12" t="s">
        <v>185</v>
      </c>
      <c r="H67" s="12" t="s">
        <v>17</v>
      </c>
      <c r="I67" s="12" t="str">
        <f>Tableau4[[#This Row],[Angle évalué]]&amp;"°"&amp;Tableau4[[#This Row],[Oreille]]</f>
        <v>45°D</v>
      </c>
    </row>
    <row r="68" spans="1:9" x14ac:dyDescent="0.25">
      <c r="A68" s="12">
        <v>2</v>
      </c>
      <c r="B68" s="12" t="str">
        <f>Tableau4[[#This Row],[Séquence]]&amp;C67:C68</f>
        <v>21</v>
      </c>
      <c r="C68" s="12">
        <v>1</v>
      </c>
      <c r="D68" s="12">
        <v>1</v>
      </c>
      <c r="E68" s="12" t="s">
        <v>188</v>
      </c>
      <c r="F68" s="12" t="s">
        <v>17</v>
      </c>
      <c r="G68" s="12" t="s">
        <v>185</v>
      </c>
      <c r="H68" s="12" t="s">
        <v>17</v>
      </c>
      <c r="I68" s="12" t="str">
        <f>Tableau4[[#This Row],[Angle évalué]]&amp;"°"&amp;Tableau4[[#This Row],[Oreille]]</f>
        <v>45°D</v>
      </c>
    </row>
    <row r="69" spans="1:9" x14ac:dyDescent="0.25">
      <c r="A69" s="12">
        <v>2</v>
      </c>
      <c r="B69" s="12" t="str">
        <f>Tableau4[[#This Row],[Séquence]]&amp;C68:C69</f>
        <v>22</v>
      </c>
      <c r="C69" s="12">
        <v>2</v>
      </c>
      <c r="D69" s="12">
        <v>5</v>
      </c>
      <c r="E69" s="12" t="s">
        <v>187</v>
      </c>
      <c r="F69" s="12" t="s">
        <v>39</v>
      </c>
      <c r="G69" s="12" t="s">
        <v>190</v>
      </c>
      <c r="H69" s="12" t="s">
        <v>17</v>
      </c>
      <c r="I69" s="12" t="str">
        <f>Tableau4[[#This Row],[Angle évalué]]&amp;"°"&amp;Tableau4[[#This Row],[Oreille]]</f>
        <v>45arr°D</v>
      </c>
    </row>
    <row r="70" spans="1:9" x14ac:dyDescent="0.25">
      <c r="A70" s="12">
        <v>2</v>
      </c>
      <c r="B70" s="12" t="str">
        <f>Tableau4[[#This Row],[Séquence]]&amp;C69:C70</f>
        <v>23</v>
      </c>
      <c r="C70" s="12">
        <v>3</v>
      </c>
      <c r="D70" s="12">
        <v>8</v>
      </c>
      <c r="E70" s="12" t="s">
        <v>191</v>
      </c>
      <c r="F70" s="12" t="s">
        <v>39</v>
      </c>
      <c r="G70" s="12" t="s">
        <v>192</v>
      </c>
      <c r="H70" s="12"/>
      <c r="I70" s="12" t="str">
        <f>Tableau4[[#This Row],[Angle évalué]]&amp;"°"&amp;Tableau4[[#This Row],[Oreille]]</f>
        <v>0°</v>
      </c>
    </row>
    <row r="71" spans="1:9" x14ac:dyDescent="0.25">
      <c r="A71" s="12">
        <v>2</v>
      </c>
      <c r="B71" s="12" t="str">
        <f>Tableau4[[#This Row],[Séquence]]&amp;C70:C71</f>
        <v>24</v>
      </c>
      <c r="C71" s="12">
        <v>4</v>
      </c>
      <c r="D71" s="12">
        <v>1</v>
      </c>
      <c r="E71" s="12" t="s">
        <v>184</v>
      </c>
      <c r="F71" s="12" t="s">
        <v>17</v>
      </c>
      <c r="G71" s="12" t="s">
        <v>185</v>
      </c>
      <c r="H71" s="12" t="s">
        <v>17</v>
      </c>
      <c r="I71" s="12" t="str">
        <f>Tableau4[[#This Row],[Angle évalué]]&amp;"°"&amp;Tableau4[[#This Row],[Oreille]]</f>
        <v>45°D</v>
      </c>
    </row>
    <row r="72" spans="1:9" x14ac:dyDescent="0.25">
      <c r="A72" s="12">
        <v>2</v>
      </c>
      <c r="B72" s="12" t="str">
        <f>Tableau4[[#This Row],[Séquence]]&amp;C71:C72</f>
        <v>25</v>
      </c>
      <c r="C72" s="12">
        <v>5</v>
      </c>
      <c r="D72" s="12">
        <v>6</v>
      </c>
      <c r="E72" s="12" t="s">
        <v>191</v>
      </c>
      <c r="F72" s="12" t="s">
        <v>17</v>
      </c>
      <c r="G72" s="12" t="s">
        <v>189</v>
      </c>
      <c r="H72" s="12"/>
      <c r="I72" s="12" t="str">
        <f>Tableau4[[#This Row],[Angle évalué]]&amp;"°"&amp;Tableau4[[#This Row],[Oreille]]</f>
        <v>180°</v>
      </c>
    </row>
    <row r="73" spans="1:9" x14ac:dyDescent="0.25">
      <c r="A73" s="12">
        <v>2</v>
      </c>
      <c r="B73" s="12" t="str">
        <f>Tableau4[[#This Row],[Séquence]]&amp;C72:C73</f>
        <v>26</v>
      </c>
      <c r="C73" s="12">
        <v>6</v>
      </c>
      <c r="D73" s="12">
        <v>3</v>
      </c>
      <c r="E73" s="12" t="s">
        <v>187</v>
      </c>
      <c r="F73" s="12" t="s">
        <v>17</v>
      </c>
      <c r="G73" s="12" t="s">
        <v>185</v>
      </c>
      <c r="H73" s="12" t="s">
        <v>39</v>
      </c>
      <c r="I73" s="12" t="str">
        <f>Tableau4[[#This Row],[Angle évalué]]&amp;"°"&amp;Tableau4[[#This Row],[Oreille]]</f>
        <v>45°G</v>
      </c>
    </row>
    <row r="74" spans="1:9" x14ac:dyDescent="0.25">
      <c r="A74" s="12">
        <v>2</v>
      </c>
      <c r="B74" s="12" t="str">
        <f>Tableau4[[#This Row],[Séquence]]&amp;C73:C74</f>
        <v>27</v>
      </c>
      <c r="C74" s="12">
        <v>7</v>
      </c>
      <c r="D74" s="12">
        <v>6</v>
      </c>
      <c r="E74" s="12" t="s">
        <v>188</v>
      </c>
      <c r="F74" s="12" t="s">
        <v>17</v>
      </c>
      <c r="G74" s="12" t="s">
        <v>189</v>
      </c>
      <c r="H74" s="12"/>
      <c r="I74" s="12" t="str">
        <f>Tableau4[[#This Row],[Angle évalué]]&amp;"°"&amp;Tableau4[[#This Row],[Oreille]]</f>
        <v>180°</v>
      </c>
    </row>
    <row r="75" spans="1:9" x14ac:dyDescent="0.25">
      <c r="A75" s="12">
        <v>2</v>
      </c>
      <c r="B75" s="12" t="str">
        <f>Tableau4[[#This Row],[Séquence]]&amp;C74:C75</f>
        <v>28</v>
      </c>
      <c r="C75" s="12">
        <v>8</v>
      </c>
      <c r="D75" s="12">
        <v>4</v>
      </c>
      <c r="E75" s="12" t="s">
        <v>187</v>
      </c>
      <c r="F75" s="12" t="s">
        <v>39</v>
      </c>
      <c r="G75" s="12" t="s">
        <v>189</v>
      </c>
      <c r="H75" s="12"/>
      <c r="I75" s="12" t="str">
        <f>Tableau4[[#This Row],[Angle évalué]]&amp;"°"&amp;Tableau4[[#This Row],[Oreille]]</f>
        <v>180°</v>
      </c>
    </row>
    <row r="76" spans="1:9" x14ac:dyDescent="0.25">
      <c r="A76" s="12">
        <v>2</v>
      </c>
      <c r="B76" s="12" t="str">
        <f>Tableau4[[#This Row],[Séquence]]&amp;C75:C76</f>
        <v>29</v>
      </c>
      <c r="C76" s="12">
        <v>9</v>
      </c>
      <c r="D76" s="12">
        <v>2</v>
      </c>
      <c r="E76" s="12" t="s">
        <v>184</v>
      </c>
      <c r="F76" s="12" t="s">
        <v>17</v>
      </c>
      <c r="G76" s="12" t="s">
        <v>192</v>
      </c>
      <c r="H76" s="12"/>
      <c r="I76" s="12" t="str">
        <f>Tableau4[[#This Row],[Angle évalué]]&amp;"°"&amp;Tableau4[[#This Row],[Oreille]]</f>
        <v>0°</v>
      </c>
    </row>
    <row r="77" spans="1:9" x14ac:dyDescent="0.25">
      <c r="A77" s="12">
        <v>2</v>
      </c>
      <c r="B77" s="12" t="str">
        <f>Tableau4[[#This Row],[Séquence]]&amp;C76:C77</f>
        <v>210</v>
      </c>
      <c r="C77" s="12">
        <v>10</v>
      </c>
      <c r="D77" s="12">
        <v>7</v>
      </c>
      <c r="E77" s="12" t="s">
        <v>191</v>
      </c>
      <c r="F77" s="12" t="s">
        <v>39</v>
      </c>
      <c r="G77" s="12" t="s">
        <v>185</v>
      </c>
      <c r="H77" s="12" t="s">
        <v>17</v>
      </c>
      <c r="I77" s="12" t="str">
        <f>Tableau4[[#This Row],[Angle évalué]]&amp;"°"&amp;Tableau4[[#This Row],[Oreille]]</f>
        <v>45°D</v>
      </c>
    </row>
    <row r="78" spans="1:9" x14ac:dyDescent="0.25">
      <c r="A78" s="12">
        <v>2</v>
      </c>
      <c r="B78" s="12" t="str">
        <f>Tableau4[[#This Row],[Séquence]]&amp;C77:C78</f>
        <v>211</v>
      </c>
      <c r="C78" s="12">
        <v>11</v>
      </c>
      <c r="D78" s="12">
        <v>2</v>
      </c>
      <c r="E78" s="12" t="s">
        <v>187</v>
      </c>
      <c r="F78" s="12" t="s">
        <v>17</v>
      </c>
      <c r="G78" s="12" t="s">
        <v>192</v>
      </c>
      <c r="H78" s="12"/>
      <c r="I78" s="12" t="str">
        <f>Tableau4[[#This Row],[Angle évalué]]&amp;"°"&amp;Tableau4[[#This Row],[Oreille]]</f>
        <v>0°</v>
      </c>
    </row>
    <row r="79" spans="1:9" x14ac:dyDescent="0.25">
      <c r="A79" s="12">
        <v>2</v>
      </c>
      <c r="B79" s="12" t="str">
        <f>Tableau4[[#This Row],[Séquence]]&amp;C78:C79</f>
        <v>212</v>
      </c>
      <c r="C79" s="12">
        <v>12</v>
      </c>
      <c r="D79" s="12">
        <v>1</v>
      </c>
      <c r="E79" s="12" t="s">
        <v>184</v>
      </c>
      <c r="F79" s="12" t="s">
        <v>39</v>
      </c>
      <c r="G79" s="12" t="s">
        <v>185</v>
      </c>
      <c r="H79" s="12" t="s">
        <v>39</v>
      </c>
      <c r="I79" s="12" t="str">
        <f>Tableau4[[#This Row],[Angle évalué]]&amp;"°"&amp;Tableau4[[#This Row],[Oreille]]</f>
        <v>45°G</v>
      </c>
    </row>
    <row r="80" spans="1:9" x14ac:dyDescent="0.25">
      <c r="A80" s="12">
        <v>2</v>
      </c>
      <c r="B80" s="12" t="str">
        <f>Tableau4[[#This Row],[Séquence]]&amp;C79:C80</f>
        <v>213</v>
      </c>
      <c r="C80" s="12">
        <v>13</v>
      </c>
      <c r="D80" s="12">
        <v>7</v>
      </c>
      <c r="E80" s="12" t="s">
        <v>188</v>
      </c>
      <c r="F80" s="12" t="s">
        <v>17</v>
      </c>
      <c r="G80" s="12" t="s">
        <v>190</v>
      </c>
      <c r="H80" s="12" t="s">
        <v>17</v>
      </c>
      <c r="I80" s="12" t="str">
        <f>Tableau4[[#This Row],[Angle évalué]]&amp;"°"&amp;Tableau4[[#This Row],[Oreille]]</f>
        <v>45arr°D</v>
      </c>
    </row>
    <row r="81" spans="1:9" x14ac:dyDescent="0.25">
      <c r="A81" s="12">
        <v>2</v>
      </c>
      <c r="B81" s="12" t="str">
        <f>Tableau4[[#This Row],[Séquence]]&amp;C80:C81</f>
        <v>214</v>
      </c>
      <c r="C81" s="12">
        <v>14</v>
      </c>
      <c r="D81" s="12">
        <v>4</v>
      </c>
      <c r="E81" s="12" t="s">
        <v>187</v>
      </c>
      <c r="F81" s="12" t="s">
        <v>17</v>
      </c>
      <c r="G81" s="12" t="s">
        <v>186</v>
      </c>
      <c r="H81" s="12" t="s">
        <v>39</v>
      </c>
      <c r="I81" s="12" t="str">
        <f>Tableau4[[#This Row],[Angle évalué]]&amp;"°"&amp;Tableau4[[#This Row],[Oreille]]</f>
        <v>90°G</v>
      </c>
    </row>
    <row r="82" spans="1:9" x14ac:dyDescent="0.25">
      <c r="A82" s="12">
        <v>2</v>
      </c>
      <c r="B82" s="12" t="str">
        <f>Tableau4[[#This Row],[Séquence]]&amp;C81:C82</f>
        <v>215</v>
      </c>
      <c r="C82" s="12">
        <v>15</v>
      </c>
      <c r="D82" s="12">
        <v>8</v>
      </c>
      <c r="E82" s="12" t="s">
        <v>188</v>
      </c>
      <c r="F82" s="12" t="s">
        <v>39</v>
      </c>
      <c r="G82" s="12" t="s">
        <v>192</v>
      </c>
      <c r="H82" s="12"/>
      <c r="I82" s="12" t="str">
        <f>Tableau4[[#This Row],[Angle évalué]]&amp;"°"&amp;Tableau4[[#This Row],[Oreille]]</f>
        <v>0°</v>
      </c>
    </row>
    <row r="83" spans="1:9" x14ac:dyDescent="0.25">
      <c r="A83" s="12">
        <v>2</v>
      </c>
      <c r="B83" s="12" t="str">
        <f>Tableau4[[#This Row],[Séquence]]&amp;C82:C83</f>
        <v>216</v>
      </c>
      <c r="C83" s="12">
        <v>16</v>
      </c>
      <c r="D83" s="12">
        <v>5</v>
      </c>
      <c r="E83" s="12" t="s">
        <v>191</v>
      </c>
      <c r="F83" s="12" t="s">
        <v>17</v>
      </c>
      <c r="G83" s="12" t="s">
        <v>190</v>
      </c>
      <c r="H83" s="12" t="s">
        <v>39</v>
      </c>
      <c r="I83" s="12" t="str">
        <f>Tableau4[[#This Row],[Angle évalué]]&amp;"°"&amp;Tableau4[[#This Row],[Oreille]]</f>
        <v>45arr°G</v>
      </c>
    </row>
    <row r="84" spans="1:9" x14ac:dyDescent="0.25">
      <c r="A84" s="12">
        <v>2</v>
      </c>
      <c r="B84" s="12" t="str">
        <f>Tableau4[[#This Row],[Séquence]]&amp;C83:C84</f>
        <v>217</v>
      </c>
      <c r="C84" s="12">
        <v>17</v>
      </c>
      <c r="D84" s="12">
        <v>3</v>
      </c>
      <c r="E84" s="12" t="s">
        <v>184</v>
      </c>
      <c r="F84" s="12" t="s">
        <v>39</v>
      </c>
      <c r="G84" s="12" t="s">
        <v>190</v>
      </c>
      <c r="H84" s="12" t="s">
        <v>39</v>
      </c>
      <c r="I84" s="12" t="str">
        <f>Tableau4[[#This Row],[Angle évalué]]&amp;"°"&amp;Tableau4[[#This Row],[Oreille]]</f>
        <v>45arr°G</v>
      </c>
    </row>
    <row r="85" spans="1:9" x14ac:dyDescent="0.25">
      <c r="A85" s="12">
        <v>2</v>
      </c>
      <c r="B85" s="12" t="str">
        <f>Tableau4[[#This Row],[Séquence]]&amp;C84:C85</f>
        <v>218</v>
      </c>
      <c r="C85" s="12">
        <v>18</v>
      </c>
      <c r="D85" s="12">
        <v>2</v>
      </c>
      <c r="E85" s="12" t="s">
        <v>188</v>
      </c>
      <c r="F85" s="12" t="s">
        <v>39</v>
      </c>
      <c r="G85" s="12" t="s">
        <v>186</v>
      </c>
      <c r="H85" s="12" t="s">
        <v>39</v>
      </c>
      <c r="I85" s="12" t="str">
        <f>Tableau4[[#This Row],[Angle évalué]]&amp;"°"&amp;Tableau4[[#This Row],[Oreille]]</f>
        <v>90°G</v>
      </c>
    </row>
    <row r="86" spans="1:9" x14ac:dyDescent="0.25">
      <c r="A86" s="12">
        <v>2</v>
      </c>
      <c r="B86" s="12" t="str">
        <f>Tableau4[[#This Row],[Séquence]]&amp;C85:C86</f>
        <v>219</v>
      </c>
      <c r="C86" s="12">
        <v>19</v>
      </c>
      <c r="D86" s="12">
        <v>4</v>
      </c>
      <c r="E86" s="12" t="s">
        <v>191</v>
      </c>
      <c r="F86" s="12" t="s">
        <v>17</v>
      </c>
      <c r="G86" s="12" t="s">
        <v>186</v>
      </c>
      <c r="H86" s="12" t="s">
        <v>39</v>
      </c>
      <c r="I86" s="12" t="str">
        <f>Tableau4[[#This Row],[Angle évalué]]&amp;"°"&amp;Tableau4[[#This Row],[Oreille]]</f>
        <v>90°G</v>
      </c>
    </row>
    <row r="87" spans="1:9" x14ac:dyDescent="0.25">
      <c r="A87" s="12">
        <v>2</v>
      </c>
      <c r="B87" s="12" t="str">
        <f>Tableau4[[#This Row],[Séquence]]&amp;C86:C87</f>
        <v>220</v>
      </c>
      <c r="C87" s="12">
        <v>20</v>
      </c>
      <c r="D87" s="12">
        <v>3</v>
      </c>
      <c r="E87" s="12" t="s">
        <v>188</v>
      </c>
      <c r="F87" s="12" t="s">
        <v>39</v>
      </c>
      <c r="G87" s="12" t="s">
        <v>190</v>
      </c>
      <c r="H87" s="12" t="s">
        <v>39</v>
      </c>
      <c r="I87" s="12" t="str">
        <f>Tableau4[[#This Row],[Angle évalué]]&amp;"°"&amp;Tableau4[[#This Row],[Oreille]]</f>
        <v>45arr°G</v>
      </c>
    </row>
    <row r="88" spans="1:9" x14ac:dyDescent="0.25">
      <c r="A88" s="12">
        <v>2</v>
      </c>
      <c r="B88" s="12" t="str">
        <f>Tableau4[[#This Row],[Séquence]]&amp;C87:C88</f>
        <v>221</v>
      </c>
      <c r="C88" s="12">
        <v>21</v>
      </c>
      <c r="D88" s="12">
        <v>5</v>
      </c>
      <c r="E88" s="12" t="s">
        <v>187</v>
      </c>
      <c r="F88" s="12" t="s">
        <v>17</v>
      </c>
      <c r="G88" s="12" t="s">
        <v>190</v>
      </c>
      <c r="H88" s="12" t="s">
        <v>39</v>
      </c>
      <c r="I88" s="12" t="str">
        <f>Tableau4[[#This Row],[Angle évalué]]&amp;"°"&amp;Tableau4[[#This Row],[Oreille]]</f>
        <v>45arr°G</v>
      </c>
    </row>
    <row r="89" spans="1:9" x14ac:dyDescent="0.25">
      <c r="A89" s="12">
        <v>2</v>
      </c>
      <c r="B89" s="12" t="str">
        <f>Tableau4[[#This Row],[Séquence]]&amp;C88:C89</f>
        <v>222</v>
      </c>
      <c r="C89" s="12">
        <v>22</v>
      </c>
      <c r="D89" s="12">
        <v>6</v>
      </c>
      <c r="E89" s="12" t="s">
        <v>191</v>
      </c>
      <c r="F89" s="12" t="s">
        <v>39</v>
      </c>
      <c r="G89" s="12" t="s">
        <v>186</v>
      </c>
      <c r="H89" s="12" t="s">
        <v>17</v>
      </c>
      <c r="I89" s="12" t="str">
        <f>Tableau4[[#This Row],[Angle évalué]]&amp;"°"&amp;Tableau4[[#This Row],[Oreille]]</f>
        <v>90°D</v>
      </c>
    </row>
    <row r="90" spans="1:9" x14ac:dyDescent="0.25">
      <c r="A90" s="12">
        <v>2</v>
      </c>
      <c r="B90" s="12" t="str">
        <f>Tableau4[[#This Row],[Séquence]]&amp;C89:C90</f>
        <v>223</v>
      </c>
      <c r="C90" s="12">
        <v>23</v>
      </c>
      <c r="D90" s="12">
        <v>3</v>
      </c>
      <c r="E90" s="12" t="s">
        <v>191</v>
      </c>
      <c r="F90" s="12" t="s">
        <v>17</v>
      </c>
      <c r="G90" s="12" t="s">
        <v>185</v>
      </c>
      <c r="H90" s="12" t="s">
        <v>39</v>
      </c>
      <c r="I90" s="12" t="str">
        <f>Tableau4[[#This Row],[Angle évalué]]&amp;"°"&amp;Tableau4[[#This Row],[Oreille]]</f>
        <v>45°G</v>
      </c>
    </row>
    <row r="91" spans="1:9" x14ac:dyDescent="0.25">
      <c r="A91" s="12">
        <v>2</v>
      </c>
      <c r="B91" s="12" t="str">
        <f>Tableau4[[#This Row],[Séquence]]&amp;C90:C91</f>
        <v>224</v>
      </c>
      <c r="C91" s="12">
        <v>24</v>
      </c>
      <c r="D91" s="12">
        <v>7</v>
      </c>
      <c r="E91" s="12" t="s">
        <v>184</v>
      </c>
      <c r="F91" s="12" t="s">
        <v>17</v>
      </c>
      <c r="G91" s="12" t="s">
        <v>190</v>
      </c>
      <c r="H91" s="12" t="s">
        <v>17</v>
      </c>
      <c r="I91" s="12" t="str">
        <f>Tableau4[[#This Row],[Angle évalué]]&amp;"°"&amp;Tableau4[[#This Row],[Oreille]]</f>
        <v>45arr°D</v>
      </c>
    </row>
    <row r="92" spans="1:9" x14ac:dyDescent="0.25">
      <c r="A92" s="12">
        <v>2</v>
      </c>
      <c r="B92" s="12" t="str">
        <f>Tableau4[[#This Row],[Séquence]]&amp;C91:C92</f>
        <v>225</v>
      </c>
      <c r="C92" s="12">
        <v>25</v>
      </c>
      <c r="D92" s="12">
        <v>1</v>
      </c>
      <c r="E92" s="12" t="s">
        <v>188</v>
      </c>
      <c r="F92" s="12" t="s">
        <v>39</v>
      </c>
      <c r="G92" s="12" t="s">
        <v>185</v>
      </c>
      <c r="H92" s="12" t="s">
        <v>39</v>
      </c>
      <c r="I92" s="12" t="str">
        <f>Tableau4[[#This Row],[Angle évalué]]&amp;"°"&amp;Tableau4[[#This Row],[Oreille]]</f>
        <v>45°G</v>
      </c>
    </row>
    <row r="93" spans="1:9" x14ac:dyDescent="0.25">
      <c r="A93" s="12">
        <v>2</v>
      </c>
      <c r="B93" s="12" t="str">
        <f>Tableau4[[#This Row],[Séquence]]&amp;C92:C93</f>
        <v>226</v>
      </c>
      <c r="C93" s="12">
        <v>26</v>
      </c>
      <c r="D93" s="12">
        <v>4</v>
      </c>
      <c r="E93" s="12" t="s">
        <v>184</v>
      </c>
      <c r="F93" s="12" t="s">
        <v>39</v>
      </c>
      <c r="G93" s="12" t="s">
        <v>189</v>
      </c>
      <c r="H93" s="12"/>
      <c r="I93" s="12" t="str">
        <f>Tableau4[[#This Row],[Angle évalué]]&amp;"°"&amp;Tableau4[[#This Row],[Oreille]]</f>
        <v>180°</v>
      </c>
    </row>
    <row r="94" spans="1:9" x14ac:dyDescent="0.25">
      <c r="A94" s="12">
        <v>2</v>
      </c>
      <c r="B94" s="12" t="str">
        <f>Tableau4[[#This Row],[Séquence]]&amp;C93:C94</f>
        <v>227</v>
      </c>
      <c r="C94" s="12">
        <v>27</v>
      </c>
      <c r="D94" s="12">
        <v>6</v>
      </c>
      <c r="E94" s="12" t="s">
        <v>187</v>
      </c>
      <c r="F94" s="12" t="s">
        <v>39</v>
      </c>
      <c r="G94" s="12" t="s">
        <v>186</v>
      </c>
      <c r="H94" s="12" t="s">
        <v>17</v>
      </c>
      <c r="I94" s="12" t="str">
        <f>Tableau4[[#This Row],[Angle évalué]]&amp;"°"&amp;Tableau4[[#This Row],[Oreille]]</f>
        <v>90°D</v>
      </c>
    </row>
    <row r="95" spans="1:9" x14ac:dyDescent="0.25">
      <c r="A95" s="12">
        <v>2</v>
      </c>
      <c r="B95" s="12" t="str">
        <f>Tableau4[[#This Row],[Séquence]]&amp;C94:C95</f>
        <v>228</v>
      </c>
      <c r="C95" s="12">
        <v>28</v>
      </c>
      <c r="D95" s="12">
        <v>8</v>
      </c>
      <c r="E95" s="12" t="s">
        <v>188</v>
      </c>
      <c r="F95" s="12" t="s">
        <v>17</v>
      </c>
      <c r="G95" s="12" t="s">
        <v>186</v>
      </c>
      <c r="H95" s="12" t="s">
        <v>17</v>
      </c>
      <c r="I95" s="12" t="str">
        <f>Tableau4[[#This Row],[Angle évalué]]&amp;"°"&amp;Tableau4[[#This Row],[Oreille]]</f>
        <v>90°D</v>
      </c>
    </row>
    <row r="96" spans="1:9" x14ac:dyDescent="0.25">
      <c r="A96" s="12">
        <v>2</v>
      </c>
      <c r="B96" s="12" t="str">
        <f>Tableau4[[#This Row],[Séquence]]&amp;C95:C96</f>
        <v>229</v>
      </c>
      <c r="C96" s="12">
        <v>29</v>
      </c>
      <c r="D96" s="12">
        <v>5</v>
      </c>
      <c r="E96" s="12" t="s">
        <v>191</v>
      </c>
      <c r="F96" s="12" t="s">
        <v>39</v>
      </c>
      <c r="G96" s="12" t="s">
        <v>190</v>
      </c>
      <c r="H96" s="12" t="s">
        <v>17</v>
      </c>
      <c r="I96" s="12" t="str">
        <f>Tableau4[[#This Row],[Angle évalué]]&amp;"°"&amp;Tableau4[[#This Row],[Oreille]]</f>
        <v>45arr°D</v>
      </c>
    </row>
    <row r="97" spans="1:9" x14ac:dyDescent="0.25">
      <c r="A97" s="12">
        <v>2</v>
      </c>
      <c r="B97" s="12" t="str">
        <f>Tableau4[[#This Row],[Séquence]]&amp;C96:C97</f>
        <v>230</v>
      </c>
      <c r="C97" s="12">
        <v>30</v>
      </c>
      <c r="D97" s="12">
        <v>8</v>
      </c>
      <c r="E97" s="12" t="s">
        <v>184</v>
      </c>
      <c r="F97" s="12" t="s">
        <v>17</v>
      </c>
      <c r="G97" s="12" t="s">
        <v>186</v>
      </c>
      <c r="H97" s="12" t="s">
        <v>17</v>
      </c>
      <c r="I97" s="12" t="str">
        <f>Tableau4[[#This Row],[Angle évalué]]&amp;"°"&amp;Tableau4[[#This Row],[Oreille]]</f>
        <v>90°D</v>
      </c>
    </row>
    <row r="98" spans="1:9" x14ac:dyDescent="0.25">
      <c r="A98" s="12">
        <v>2</v>
      </c>
      <c r="B98" s="12" t="str">
        <f>Tableau4[[#This Row],[Séquence]]&amp;C97:C98</f>
        <v>231</v>
      </c>
      <c r="C98" s="12">
        <v>31</v>
      </c>
      <c r="D98" s="12">
        <v>7</v>
      </c>
      <c r="E98" s="12" t="s">
        <v>187</v>
      </c>
      <c r="F98" s="12" t="s">
        <v>39</v>
      </c>
      <c r="G98" s="12" t="s">
        <v>185</v>
      </c>
      <c r="H98" s="12" t="s">
        <v>17</v>
      </c>
      <c r="I98" s="12" t="str">
        <f>Tableau4[[#This Row],[Angle évalué]]&amp;"°"&amp;Tableau4[[#This Row],[Oreille]]</f>
        <v>45°D</v>
      </c>
    </row>
    <row r="99" spans="1:9" x14ac:dyDescent="0.25">
      <c r="A99" s="12">
        <v>2</v>
      </c>
      <c r="B99" s="12" t="str">
        <f>Tableau4[[#This Row],[Séquence]]&amp;C98:C99</f>
        <v>232</v>
      </c>
      <c r="C99" s="12">
        <v>32</v>
      </c>
      <c r="D99" s="12">
        <v>2</v>
      </c>
      <c r="E99" s="12" t="s">
        <v>184</v>
      </c>
      <c r="F99" s="12" t="s">
        <v>39</v>
      </c>
      <c r="G99" s="12" t="s">
        <v>186</v>
      </c>
      <c r="H99" s="12" t="s">
        <v>39</v>
      </c>
      <c r="I99" s="12" t="str">
        <f>Tableau4[[#This Row],[Angle évalué]]&amp;"°"&amp;Tableau4[[#This Row],[Oreille]]</f>
        <v>90°G</v>
      </c>
    </row>
    <row r="100" spans="1:9" x14ac:dyDescent="0.25">
      <c r="A100" s="12">
        <v>2</v>
      </c>
      <c r="B100" s="12" t="str">
        <f>Tableau4[[#This Row],[Séquence]]&amp;C99:C100</f>
        <v>233</v>
      </c>
      <c r="C100" s="12">
        <v>33</v>
      </c>
      <c r="D100" s="12">
        <v>2</v>
      </c>
      <c r="E100" s="12" t="s">
        <v>184</v>
      </c>
      <c r="F100" s="12" t="s">
        <v>39</v>
      </c>
      <c r="G100" s="12" t="s">
        <v>186</v>
      </c>
      <c r="H100" s="12" t="s">
        <v>39</v>
      </c>
      <c r="I100" s="12" t="str">
        <f>Tableau4[[#This Row],[Angle évalué]]&amp;"°"&amp;Tableau4[[#This Row],[Oreille]]</f>
        <v>90°G</v>
      </c>
    </row>
    <row r="101" spans="1:9" x14ac:dyDescent="0.25">
      <c r="A101" s="12">
        <v>2</v>
      </c>
      <c r="B101" s="12" t="str">
        <f>Tableau4[[#This Row],[Séquence]]&amp;C100:C101</f>
        <v>234</v>
      </c>
      <c r="C101" s="12">
        <v>34</v>
      </c>
      <c r="D101" s="12">
        <v>8</v>
      </c>
      <c r="E101" s="12" t="s">
        <v>184</v>
      </c>
      <c r="F101" s="12" t="s">
        <v>17</v>
      </c>
      <c r="G101" s="12" t="s">
        <v>186</v>
      </c>
      <c r="H101" s="12" t="s">
        <v>17</v>
      </c>
      <c r="I101" s="12" t="str">
        <f>Tableau4[[#This Row],[Angle évalué]]&amp;"°"&amp;Tableau4[[#This Row],[Oreille]]</f>
        <v>90°D</v>
      </c>
    </row>
    <row r="102" spans="1:9" x14ac:dyDescent="0.25">
      <c r="A102" s="12">
        <v>2</v>
      </c>
      <c r="B102" s="12" t="str">
        <f>Tableau4[[#This Row],[Séquence]]&amp;C101:C102</f>
        <v>235</v>
      </c>
      <c r="C102" s="12">
        <v>35</v>
      </c>
      <c r="D102" s="12">
        <v>7</v>
      </c>
      <c r="E102" s="12" t="s">
        <v>187</v>
      </c>
      <c r="F102" s="12" t="s">
        <v>39</v>
      </c>
      <c r="G102" s="12" t="s">
        <v>185</v>
      </c>
      <c r="H102" s="12" t="s">
        <v>17</v>
      </c>
      <c r="I102" s="12" t="str">
        <f>Tableau4[[#This Row],[Angle évalué]]&amp;"°"&amp;Tableau4[[#This Row],[Oreille]]</f>
        <v>45°D</v>
      </c>
    </row>
    <row r="103" spans="1:9" x14ac:dyDescent="0.25">
      <c r="A103" s="12">
        <v>2</v>
      </c>
      <c r="B103" s="12" t="str">
        <f>Tableau4[[#This Row],[Séquence]]&amp;C102:C103</f>
        <v>236</v>
      </c>
      <c r="C103" s="12">
        <v>36</v>
      </c>
      <c r="D103" s="12">
        <v>5</v>
      </c>
      <c r="E103" s="12" t="s">
        <v>191</v>
      </c>
      <c r="F103" s="12" t="s">
        <v>39</v>
      </c>
      <c r="G103" s="12" t="s">
        <v>190</v>
      </c>
      <c r="H103" s="12" t="s">
        <v>17</v>
      </c>
      <c r="I103" s="12" t="str">
        <f>Tableau4[[#This Row],[Angle évalué]]&amp;"°"&amp;Tableau4[[#This Row],[Oreille]]</f>
        <v>45arr°D</v>
      </c>
    </row>
    <row r="104" spans="1:9" x14ac:dyDescent="0.25">
      <c r="A104" s="12">
        <v>2</v>
      </c>
      <c r="B104" s="12" t="str">
        <f>Tableau4[[#This Row],[Séquence]]&amp;C103:C104</f>
        <v>237</v>
      </c>
      <c r="C104" s="12">
        <v>37</v>
      </c>
      <c r="D104" s="12">
        <v>8</v>
      </c>
      <c r="E104" s="12" t="s">
        <v>188</v>
      </c>
      <c r="F104" s="12" t="s">
        <v>17</v>
      </c>
      <c r="G104" s="12" t="s">
        <v>186</v>
      </c>
      <c r="H104" s="12" t="s">
        <v>17</v>
      </c>
      <c r="I104" s="12" t="str">
        <f>Tableau4[[#This Row],[Angle évalué]]&amp;"°"&amp;Tableau4[[#This Row],[Oreille]]</f>
        <v>90°D</v>
      </c>
    </row>
    <row r="105" spans="1:9" x14ac:dyDescent="0.25">
      <c r="A105" s="12">
        <v>2</v>
      </c>
      <c r="B105" s="12" t="str">
        <f>Tableau4[[#This Row],[Séquence]]&amp;C104:C105</f>
        <v>238</v>
      </c>
      <c r="C105" s="12">
        <v>38</v>
      </c>
      <c r="D105" s="12">
        <v>6</v>
      </c>
      <c r="E105" s="12" t="s">
        <v>187</v>
      </c>
      <c r="F105" s="12" t="s">
        <v>39</v>
      </c>
      <c r="G105" s="12" t="s">
        <v>186</v>
      </c>
      <c r="H105" s="12" t="s">
        <v>17</v>
      </c>
      <c r="I105" s="12" t="str">
        <f>Tableau4[[#This Row],[Angle évalué]]&amp;"°"&amp;Tableau4[[#This Row],[Oreille]]</f>
        <v>90°D</v>
      </c>
    </row>
    <row r="106" spans="1:9" x14ac:dyDescent="0.25">
      <c r="A106" s="12">
        <v>2</v>
      </c>
      <c r="B106" s="12" t="str">
        <f>Tableau4[[#This Row],[Séquence]]&amp;C105:C106</f>
        <v>239</v>
      </c>
      <c r="C106" s="12">
        <v>39</v>
      </c>
      <c r="D106" s="12">
        <v>4</v>
      </c>
      <c r="E106" s="12" t="s">
        <v>184</v>
      </c>
      <c r="F106" s="12" t="s">
        <v>39</v>
      </c>
      <c r="G106" s="12" t="s">
        <v>189</v>
      </c>
      <c r="H106" s="12"/>
      <c r="I106" s="12" t="str">
        <f>Tableau4[[#This Row],[Angle évalué]]&amp;"°"&amp;Tableau4[[#This Row],[Oreille]]</f>
        <v>180°</v>
      </c>
    </row>
    <row r="107" spans="1:9" x14ac:dyDescent="0.25">
      <c r="A107" s="12">
        <v>2</v>
      </c>
      <c r="B107" s="12" t="str">
        <f>Tableau4[[#This Row],[Séquence]]&amp;C106:C107</f>
        <v>240</v>
      </c>
      <c r="C107" s="12">
        <v>40</v>
      </c>
      <c r="D107" s="12">
        <v>1</v>
      </c>
      <c r="E107" s="12" t="s">
        <v>188</v>
      </c>
      <c r="F107" s="12" t="s">
        <v>39</v>
      </c>
      <c r="G107" s="12" t="s">
        <v>185</v>
      </c>
      <c r="H107" s="12" t="s">
        <v>39</v>
      </c>
      <c r="I107" s="12" t="str">
        <f>Tableau4[[#This Row],[Angle évalué]]&amp;"°"&amp;Tableau4[[#This Row],[Oreille]]</f>
        <v>45°G</v>
      </c>
    </row>
    <row r="108" spans="1:9" x14ac:dyDescent="0.25">
      <c r="A108" s="12">
        <v>2</v>
      </c>
      <c r="B108" s="12" t="str">
        <f>Tableau4[[#This Row],[Séquence]]&amp;C107:C108</f>
        <v>241</v>
      </c>
      <c r="C108" s="12">
        <v>41</v>
      </c>
      <c r="D108" s="12">
        <v>7</v>
      </c>
      <c r="E108" s="12" t="s">
        <v>184</v>
      </c>
      <c r="F108" s="12" t="s">
        <v>17</v>
      </c>
      <c r="G108" s="12" t="s">
        <v>190</v>
      </c>
      <c r="H108" s="12" t="s">
        <v>17</v>
      </c>
      <c r="I108" s="12" t="str">
        <f>Tableau4[[#This Row],[Angle évalué]]&amp;"°"&amp;Tableau4[[#This Row],[Oreille]]</f>
        <v>45arr°D</v>
      </c>
    </row>
    <row r="109" spans="1:9" x14ac:dyDescent="0.25">
      <c r="A109" s="12">
        <v>2</v>
      </c>
      <c r="B109" s="12" t="str">
        <f>Tableau4[[#This Row],[Séquence]]&amp;C108:C109</f>
        <v>242</v>
      </c>
      <c r="C109" s="12">
        <v>42</v>
      </c>
      <c r="D109" s="12">
        <v>3</v>
      </c>
      <c r="E109" s="12" t="s">
        <v>191</v>
      </c>
      <c r="F109" s="12" t="s">
        <v>17</v>
      </c>
      <c r="G109" s="12" t="s">
        <v>185</v>
      </c>
      <c r="H109" s="12" t="s">
        <v>39</v>
      </c>
      <c r="I109" s="12" t="str">
        <f>Tableau4[[#This Row],[Angle évalué]]&amp;"°"&amp;Tableau4[[#This Row],[Oreille]]</f>
        <v>45°G</v>
      </c>
    </row>
    <row r="110" spans="1:9" x14ac:dyDescent="0.25">
      <c r="A110" s="12">
        <v>2</v>
      </c>
      <c r="B110" s="12" t="str">
        <f>Tableau4[[#This Row],[Séquence]]&amp;C109:C110</f>
        <v>243</v>
      </c>
      <c r="C110" s="12">
        <v>43</v>
      </c>
      <c r="D110" s="12">
        <v>6</v>
      </c>
      <c r="E110" s="12" t="s">
        <v>191</v>
      </c>
      <c r="F110" s="12" t="s">
        <v>39</v>
      </c>
      <c r="G110" s="12" t="s">
        <v>186</v>
      </c>
      <c r="H110" s="12" t="s">
        <v>17</v>
      </c>
      <c r="I110" s="12" t="str">
        <f>Tableau4[[#This Row],[Angle évalué]]&amp;"°"&amp;Tableau4[[#This Row],[Oreille]]</f>
        <v>90°D</v>
      </c>
    </row>
    <row r="111" spans="1:9" x14ac:dyDescent="0.25">
      <c r="A111" s="12">
        <v>2</v>
      </c>
      <c r="B111" s="12" t="str">
        <f>Tableau4[[#This Row],[Séquence]]&amp;C110:C111</f>
        <v>244</v>
      </c>
      <c r="C111" s="12">
        <v>44</v>
      </c>
      <c r="D111" s="12">
        <v>5</v>
      </c>
      <c r="E111" s="12" t="s">
        <v>187</v>
      </c>
      <c r="F111" s="12" t="s">
        <v>17</v>
      </c>
      <c r="G111" s="12" t="s">
        <v>190</v>
      </c>
      <c r="H111" s="12" t="s">
        <v>39</v>
      </c>
      <c r="I111" s="12" t="str">
        <f>Tableau4[[#This Row],[Angle évalué]]&amp;"°"&amp;Tableau4[[#This Row],[Oreille]]</f>
        <v>45arr°G</v>
      </c>
    </row>
    <row r="112" spans="1:9" x14ac:dyDescent="0.25">
      <c r="A112" s="12">
        <v>2</v>
      </c>
      <c r="B112" s="12" t="str">
        <f>Tableau4[[#This Row],[Séquence]]&amp;C111:C112</f>
        <v>245</v>
      </c>
      <c r="C112" s="12">
        <v>45</v>
      </c>
      <c r="D112" s="12">
        <v>3</v>
      </c>
      <c r="E112" s="12" t="s">
        <v>188</v>
      </c>
      <c r="F112" s="12" t="s">
        <v>39</v>
      </c>
      <c r="G112" s="12" t="s">
        <v>190</v>
      </c>
      <c r="H112" s="12" t="s">
        <v>39</v>
      </c>
      <c r="I112" s="12" t="str">
        <f>Tableau4[[#This Row],[Angle évalué]]&amp;"°"&amp;Tableau4[[#This Row],[Oreille]]</f>
        <v>45arr°G</v>
      </c>
    </row>
    <row r="113" spans="1:9" x14ac:dyDescent="0.25">
      <c r="A113" s="12">
        <v>2</v>
      </c>
      <c r="B113" s="12" t="str">
        <f>Tableau4[[#This Row],[Séquence]]&amp;C112:C113</f>
        <v>246</v>
      </c>
      <c r="C113" s="12">
        <v>46</v>
      </c>
      <c r="D113" s="12">
        <v>4</v>
      </c>
      <c r="E113" s="12" t="s">
        <v>191</v>
      </c>
      <c r="F113" s="12" t="s">
        <v>17</v>
      </c>
      <c r="G113" s="12" t="s">
        <v>186</v>
      </c>
      <c r="H113" s="12" t="s">
        <v>39</v>
      </c>
      <c r="I113" s="12" t="str">
        <f>Tableau4[[#This Row],[Angle évalué]]&amp;"°"&amp;Tableau4[[#This Row],[Oreille]]</f>
        <v>90°G</v>
      </c>
    </row>
    <row r="114" spans="1:9" x14ac:dyDescent="0.25">
      <c r="A114" s="12">
        <v>2</v>
      </c>
      <c r="B114" s="12" t="str">
        <f>Tableau4[[#This Row],[Séquence]]&amp;C113:C114</f>
        <v>247</v>
      </c>
      <c r="C114" s="12">
        <v>47</v>
      </c>
      <c r="D114" s="12">
        <v>2</v>
      </c>
      <c r="E114" s="12" t="s">
        <v>188</v>
      </c>
      <c r="F114" s="12" t="s">
        <v>39</v>
      </c>
      <c r="G114" s="12" t="s">
        <v>186</v>
      </c>
      <c r="H114" s="12" t="s">
        <v>39</v>
      </c>
      <c r="I114" s="12" t="str">
        <f>Tableau4[[#This Row],[Angle évalué]]&amp;"°"&amp;Tableau4[[#This Row],[Oreille]]</f>
        <v>90°G</v>
      </c>
    </row>
    <row r="115" spans="1:9" x14ac:dyDescent="0.25">
      <c r="A115" s="12">
        <v>2</v>
      </c>
      <c r="B115" s="12" t="str">
        <f>Tableau4[[#This Row],[Séquence]]&amp;C114:C115</f>
        <v>248</v>
      </c>
      <c r="C115" s="12">
        <v>48</v>
      </c>
      <c r="D115" s="12">
        <v>3</v>
      </c>
      <c r="E115" s="12" t="s">
        <v>184</v>
      </c>
      <c r="F115" s="12" t="s">
        <v>39</v>
      </c>
      <c r="G115" s="12" t="s">
        <v>190</v>
      </c>
      <c r="H115" s="12" t="s">
        <v>39</v>
      </c>
      <c r="I115" s="12" t="str">
        <f>Tableau4[[#This Row],[Angle évalué]]&amp;"°"&amp;Tableau4[[#This Row],[Oreille]]</f>
        <v>45arr°G</v>
      </c>
    </row>
    <row r="116" spans="1:9" x14ac:dyDescent="0.25">
      <c r="A116" s="12">
        <v>2</v>
      </c>
      <c r="B116" s="12" t="str">
        <f>Tableau4[[#This Row],[Séquence]]&amp;C115:C116</f>
        <v>249</v>
      </c>
      <c r="C116" s="12">
        <v>49</v>
      </c>
      <c r="D116" s="12">
        <v>5</v>
      </c>
      <c r="E116" s="12" t="s">
        <v>191</v>
      </c>
      <c r="F116" s="12" t="s">
        <v>17</v>
      </c>
      <c r="G116" s="12" t="s">
        <v>190</v>
      </c>
      <c r="H116" s="12" t="s">
        <v>39</v>
      </c>
      <c r="I116" s="12" t="str">
        <f>Tableau4[[#This Row],[Angle évalué]]&amp;"°"&amp;Tableau4[[#This Row],[Oreille]]</f>
        <v>45arr°G</v>
      </c>
    </row>
    <row r="117" spans="1:9" x14ac:dyDescent="0.25">
      <c r="A117" s="12">
        <v>2</v>
      </c>
      <c r="B117" s="12" t="str">
        <f>Tableau4[[#This Row],[Séquence]]&amp;C116:C117</f>
        <v>250</v>
      </c>
      <c r="C117" s="12">
        <v>50</v>
      </c>
      <c r="D117" s="12">
        <v>8</v>
      </c>
      <c r="E117" s="12" t="s">
        <v>188</v>
      </c>
      <c r="F117" s="12" t="s">
        <v>39</v>
      </c>
      <c r="G117" s="12" t="s">
        <v>192</v>
      </c>
      <c r="H117" s="12"/>
      <c r="I117" s="12" t="str">
        <f>Tableau4[[#This Row],[Angle évalué]]&amp;"°"&amp;Tableau4[[#This Row],[Oreille]]</f>
        <v>0°</v>
      </c>
    </row>
    <row r="118" spans="1:9" x14ac:dyDescent="0.25">
      <c r="A118" s="12">
        <v>2</v>
      </c>
      <c r="B118" s="12" t="str">
        <f>Tableau4[[#This Row],[Séquence]]&amp;C117:C118</f>
        <v>251</v>
      </c>
      <c r="C118" s="12">
        <v>51</v>
      </c>
      <c r="D118" s="12">
        <v>4</v>
      </c>
      <c r="E118" s="12" t="s">
        <v>187</v>
      </c>
      <c r="F118" s="12" t="s">
        <v>17</v>
      </c>
      <c r="G118" s="12" t="s">
        <v>186</v>
      </c>
      <c r="H118" s="12" t="s">
        <v>39</v>
      </c>
      <c r="I118" s="12" t="str">
        <f>Tableau4[[#This Row],[Angle évalué]]&amp;"°"&amp;Tableau4[[#This Row],[Oreille]]</f>
        <v>90°G</v>
      </c>
    </row>
    <row r="119" spans="1:9" x14ac:dyDescent="0.25">
      <c r="A119" s="12">
        <v>2</v>
      </c>
      <c r="B119" s="12" t="str">
        <f>Tableau4[[#This Row],[Séquence]]&amp;C118:C119</f>
        <v>252</v>
      </c>
      <c r="C119" s="12">
        <v>52</v>
      </c>
      <c r="D119" s="12">
        <v>7</v>
      </c>
      <c r="E119" s="12" t="s">
        <v>188</v>
      </c>
      <c r="F119" s="12" t="s">
        <v>17</v>
      </c>
      <c r="G119" s="12" t="s">
        <v>190</v>
      </c>
      <c r="H119" s="12" t="s">
        <v>17</v>
      </c>
      <c r="I119" s="12" t="str">
        <f>Tableau4[[#This Row],[Angle évalué]]&amp;"°"&amp;Tableau4[[#This Row],[Oreille]]</f>
        <v>45arr°D</v>
      </c>
    </row>
    <row r="120" spans="1:9" x14ac:dyDescent="0.25">
      <c r="A120" s="12">
        <v>2</v>
      </c>
      <c r="B120" s="12" t="str">
        <f>Tableau4[[#This Row],[Séquence]]&amp;C119:C120</f>
        <v>253</v>
      </c>
      <c r="C120" s="12">
        <v>53</v>
      </c>
      <c r="D120" s="12">
        <v>1</v>
      </c>
      <c r="E120" s="12" t="s">
        <v>184</v>
      </c>
      <c r="F120" s="12" t="s">
        <v>39</v>
      </c>
      <c r="G120" s="12" t="s">
        <v>185</v>
      </c>
      <c r="H120" s="12" t="s">
        <v>39</v>
      </c>
      <c r="I120" s="12" t="str">
        <f>Tableau4[[#This Row],[Angle évalué]]&amp;"°"&amp;Tableau4[[#This Row],[Oreille]]</f>
        <v>45°G</v>
      </c>
    </row>
    <row r="121" spans="1:9" x14ac:dyDescent="0.25">
      <c r="A121" s="12">
        <v>2</v>
      </c>
      <c r="B121" s="12" t="str">
        <f>Tableau4[[#This Row],[Séquence]]&amp;C120:C121</f>
        <v>254</v>
      </c>
      <c r="C121" s="12">
        <v>54</v>
      </c>
      <c r="D121" s="12">
        <v>2</v>
      </c>
      <c r="E121" s="12" t="s">
        <v>187</v>
      </c>
      <c r="F121" s="12" t="s">
        <v>17</v>
      </c>
      <c r="G121" s="12" t="s">
        <v>192</v>
      </c>
      <c r="H121" s="12"/>
      <c r="I121" s="12" t="str">
        <f>Tableau4[[#This Row],[Angle évalué]]&amp;"°"&amp;Tableau4[[#This Row],[Oreille]]</f>
        <v>0°</v>
      </c>
    </row>
    <row r="122" spans="1:9" x14ac:dyDescent="0.25">
      <c r="A122" s="12">
        <v>2</v>
      </c>
      <c r="B122" s="12" t="str">
        <f>Tableau4[[#This Row],[Séquence]]&amp;C121:C122</f>
        <v>255</v>
      </c>
      <c r="C122" s="12">
        <v>55</v>
      </c>
      <c r="D122" s="12">
        <v>7</v>
      </c>
      <c r="E122" s="12" t="s">
        <v>191</v>
      </c>
      <c r="F122" s="12" t="s">
        <v>39</v>
      </c>
      <c r="G122" s="12" t="s">
        <v>185</v>
      </c>
      <c r="H122" s="12" t="s">
        <v>17</v>
      </c>
      <c r="I122" s="12" t="str">
        <f>Tableau4[[#This Row],[Angle évalué]]&amp;"°"&amp;Tableau4[[#This Row],[Oreille]]</f>
        <v>45°D</v>
      </c>
    </row>
    <row r="123" spans="1:9" x14ac:dyDescent="0.25">
      <c r="A123" s="12">
        <v>2</v>
      </c>
      <c r="B123" s="12" t="str">
        <f>Tableau4[[#This Row],[Séquence]]&amp;C122:C123</f>
        <v>256</v>
      </c>
      <c r="C123" s="12">
        <v>56</v>
      </c>
      <c r="D123" s="12">
        <v>2</v>
      </c>
      <c r="E123" s="12" t="s">
        <v>184</v>
      </c>
      <c r="F123" s="12" t="s">
        <v>17</v>
      </c>
      <c r="G123" s="12" t="s">
        <v>192</v>
      </c>
      <c r="H123" s="12"/>
      <c r="I123" s="12" t="str">
        <f>Tableau4[[#This Row],[Angle évalué]]&amp;"°"&amp;Tableau4[[#This Row],[Oreille]]</f>
        <v>0°</v>
      </c>
    </row>
    <row r="124" spans="1:9" x14ac:dyDescent="0.25">
      <c r="A124" s="12">
        <v>2</v>
      </c>
      <c r="B124" s="12" t="str">
        <f>Tableau4[[#This Row],[Séquence]]&amp;C123:C124</f>
        <v>257</v>
      </c>
      <c r="C124" s="12">
        <v>57</v>
      </c>
      <c r="D124" s="12">
        <v>4</v>
      </c>
      <c r="E124" s="12" t="s">
        <v>187</v>
      </c>
      <c r="F124" s="12" t="s">
        <v>39</v>
      </c>
      <c r="G124" s="12" t="s">
        <v>189</v>
      </c>
      <c r="H124" s="12"/>
      <c r="I124" s="12" t="str">
        <f>Tableau4[[#This Row],[Angle évalué]]&amp;"°"&amp;Tableau4[[#This Row],[Oreille]]</f>
        <v>180°</v>
      </c>
    </row>
    <row r="125" spans="1:9" x14ac:dyDescent="0.25">
      <c r="A125" s="12">
        <v>2</v>
      </c>
      <c r="B125" s="12" t="str">
        <f>Tableau4[[#This Row],[Séquence]]&amp;C124:C125</f>
        <v>258</v>
      </c>
      <c r="C125" s="12">
        <v>58</v>
      </c>
      <c r="D125" s="12">
        <v>6</v>
      </c>
      <c r="E125" s="12" t="s">
        <v>188</v>
      </c>
      <c r="F125" s="12" t="s">
        <v>17</v>
      </c>
      <c r="G125" s="12" t="s">
        <v>189</v>
      </c>
      <c r="H125" s="12"/>
      <c r="I125" s="12" t="str">
        <f>Tableau4[[#This Row],[Angle évalué]]&amp;"°"&amp;Tableau4[[#This Row],[Oreille]]</f>
        <v>180°</v>
      </c>
    </row>
    <row r="126" spans="1:9" x14ac:dyDescent="0.25">
      <c r="A126" s="12">
        <v>2</v>
      </c>
      <c r="B126" s="12" t="str">
        <f>Tableau4[[#This Row],[Séquence]]&amp;C125:C126</f>
        <v>259</v>
      </c>
      <c r="C126" s="12">
        <v>59</v>
      </c>
      <c r="D126" s="12">
        <v>3</v>
      </c>
      <c r="E126" s="12" t="s">
        <v>187</v>
      </c>
      <c r="F126" s="12" t="s">
        <v>17</v>
      </c>
      <c r="G126" s="12" t="s">
        <v>185</v>
      </c>
      <c r="H126" s="12" t="s">
        <v>39</v>
      </c>
      <c r="I126" s="12" t="str">
        <f>Tableau4[[#This Row],[Angle évalué]]&amp;"°"&amp;Tableau4[[#This Row],[Oreille]]</f>
        <v>45°G</v>
      </c>
    </row>
    <row r="127" spans="1:9" x14ac:dyDescent="0.25">
      <c r="A127" s="12">
        <v>2</v>
      </c>
      <c r="B127" s="12" t="str">
        <f>Tableau4[[#This Row],[Séquence]]&amp;C126:C127</f>
        <v>260</v>
      </c>
      <c r="C127" s="12">
        <v>60</v>
      </c>
      <c r="D127" s="12">
        <v>6</v>
      </c>
      <c r="E127" s="12" t="s">
        <v>191</v>
      </c>
      <c r="F127" s="12" t="s">
        <v>17</v>
      </c>
      <c r="G127" s="12" t="s">
        <v>189</v>
      </c>
      <c r="H127" s="12"/>
      <c r="I127" s="12" t="str">
        <f>Tableau4[[#This Row],[Angle évalué]]&amp;"°"&amp;Tableau4[[#This Row],[Oreille]]</f>
        <v>180°</v>
      </c>
    </row>
    <row r="128" spans="1:9" x14ac:dyDescent="0.25">
      <c r="A128" s="12">
        <v>2</v>
      </c>
      <c r="B128" s="12" t="str">
        <f>Tableau4[[#This Row],[Séquence]]&amp;C127:C128</f>
        <v>261</v>
      </c>
      <c r="C128" s="12">
        <v>61</v>
      </c>
      <c r="D128" s="12">
        <v>1</v>
      </c>
      <c r="E128" s="12" t="s">
        <v>184</v>
      </c>
      <c r="F128" s="12" t="s">
        <v>17</v>
      </c>
      <c r="G128" s="12" t="s">
        <v>185</v>
      </c>
      <c r="H128" s="12" t="s">
        <v>17</v>
      </c>
      <c r="I128" s="12" t="str">
        <f>Tableau4[[#This Row],[Angle évalué]]&amp;"°"&amp;Tableau4[[#This Row],[Oreille]]</f>
        <v>45°D</v>
      </c>
    </row>
    <row r="129" spans="1:9" x14ac:dyDescent="0.25">
      <c r="A129" s="12">
        <v>2</v>
      </c>
      <c r="B129" s="12" t="str">
        <f>Tableau4[[#This Row],[Séquence]]&amp;C128:C129</f>
        <v>262</v>
      </c>
      <c r="C129" s="12">
        <v>62</v>
      </c>
      <c r="D129" s="12">
        <v>8</v>
      </c>
      <c r="E129" s="12" t="s">
        <v>191</v>
      </c>
      <c r="F129" s="12" t="s">
        <v>39</v>
      </c>
      <c r="G129" s="12" t="s">
        <v>192</v>
      </c>
      <c r="H129" s="12"/>
      <c r="I129" s="12" t="str">
        <f>Tableau4[[#This Row],[Angle évalué]]&amp;"°"&amp;Tableau4[[#This Row],[Oreille]]</f>
        <v>0°</v>
      </c>
    </row>
    <row r="130" spans="1:9" x14ac:dyDescent="0.25">
      <c r="A130" s="12">
        <v>2</v>
      </c>
      <c r="B130" s="12" t="str">
        <f>Tableau4[[#This Row],[Séquence]]&amp;C129:C130</f>
        <v>263</v>
      </c>
      <c r="C130" s="12">
        <v>63</v>
      </c>
      <c r="D130" s="12">
        <v>5</v>
      </c>
      <c r="E130" s="12" t="s">
        <v>187</v>
      </c>
      <c r="F130" s="12" t="s">
        <v>39</v>
      </c>
      <c r="G130" s="12" t="s">
        <v>190</v>
      </c>
      <c r="H130" s="12" t="s">
        <v>17</v>
      </c>
      <c r="I130" s="12" t="str">
        <f>Tableau4[[#This Row],[Angle évalué]]&amp;"°"&amp;Tableau4[[#This Row],[Oreille]]</f>
        <v>45arr°D</v>
      </c>
    </row>
    <row r="131" spans="1:9" x14ac:dyDescent="0.25">
      <c r="A131" s="12">
        <v>2</v>
      </c>
      <c r="B131" s="12" t="str">
        <f>Tableau4[[#This Row],[Séquence]]&amp;C130:C131</f>
        <v>264</v>
      </c>
      <c r="C131" s="12">
        <v>64</v>
      </c>
      <c r="D131" s="12">
        <v>1</v>
      </c>
      <c r="E131" s="12" t="s">
        <v>188</v>
      </c>
      <c r="F131" s="12" t="s">
        <v>17</v>
      </c>
      <c r="G131" s="12" t="s">
        <v>185</v>
      </c>
      <c r="H131" s="12" t="s">
        <v>17</v>
      </c>
      <c r="I131" s="12" t="str">
        <f>Tableau4[[#This Row],[Angle évalué]]&amp;"°"&amp;Tableau4[[#This Row],[Oreille]]</f>
        <v>45°D</v>
      </c>
    </row>
    <row r="132" spans="1:9" x14ac:dyDescent="0.25">
      <c r="A132" s="12">
        <v>3</v>
      </c>
      <c r="B132" s="12" t="str">
        <f>Tableau4[[#This Row],[Séquence]]&amp;C131:C132</f>
        <v>31</v>
      </c>
      <c r="C132" s="12">
        <v>1</v>
      </c>
      <c r="D132" s="12">
        <v>3</v>
      </c>
      <c r="E132" s="12" t="s">
        <v>187</v>
      </c>
      <c r="F132" s="12" t="s">
        <v>17</v>
      </c>
      <c r="G132" s="12" t="s">
        <v>185</v>
      </c>
      <c r="H132" s="12" t="s">
        <v>39</v>
      </c>
      <c r="I132" s="12" t="str">
        <f>Tableau4[[#This Row],[Angle évalué]]&amp;"°"&amp;Tableau4[[#This Row],[Oreille]]</f>
        <v>45°G</v>
      </c>
    </row>
    <row r="133" spans="1:9" x14ac:dyDescent="0.25">
      <c r="A133" s="12">
        <v>3</v>
      </c>
      <c r="B133" s="12" t="str">
        <f>Tableau4[[#This Row],[Séquence]]&amp;C132:C133</f>
        <v>32</v>
      </c>
      <c r="C133" s="12">
        <v>2</v>
      </c>
      <c r="D133" s="12">
        <v>6</v>
      </c>
      <c r="E133" s="12" t="s">
        <v>191</v>
      </c>
      <c r="F133" s="12" t="s">
        <v>17</v>
      </c>
      <c r="G133" s="12" t="s">
        <v>189</v>
      </c>
      <c r="H133" s="12"/>
      <c r="I133" s="12" t="str">
        <f>Tableau4[[#This Row],[Angle évalué]]&amp;"°"&amp;Tableau4[[#This Row],[Oreille]]</f>
        <v>180°</v>
      </c>
    </row>
    <row r="134" spans="1:9" x14ac:dyDescent="0.25">
      <c r="A134" s="12">
        <v>3</v>
      </c>
      <c r="B134" s="12" t="str">
        <f>Tableau4[[#This Row],[Séquence]]&amp;C133:C134</f>
        <v>33</v>
      </c>
      <c r="C134" s="12">
        <v>3</v>
      </c>
      <c r="D134" s="12">
        <v>2</v>
      </c>
      <c r="E134" s="12" t="s">
        <v>184</v>
      </c>
      <c r="F134" s="12" t="s">
        <v>17</v>
      </c>
      <c r="G134" s="12" t="s">
        <v>192</v>
      </c>
      <c r="H134" s="12"/>
      <c r="I134" s="12" t="str">
        <f>Tableau4[[#This Row],[Angle évalué]]&amp;"°"&amp;Tableau4[[#This Row],[Oreille]]</f>
        <v>0°</v>
      </c>
    </row>
    <row r="135" spans="1:9" x14ac:dyDescent="0.25">
      <c r="A135" s="12">
        <v>3</v>
      </c>
      <c r="B135" s="12" t="str">
        <f>Tableau4[[#This Row],[Séquence]]&amp;C134:C135</f>
        <v>34</v>
      </c>
      <c r="C135" s="12">
        <v>4</v>
      </c>
      <c r="D135" s="12">
        <v>5</v>
      </c>
      <c r="E135" s="12" t="s">
        <v>187</v>
      </c>
      <c r="F135" s="12" t="s">
        <v>39</v>
      </c>
      <c r="G135" s="12" t="s">
        <v>190</v>
      </c>
      <c r="H135" s="12" t="s">
        <v>17</v>
      </c>
      <c r="I135" s="12" t="str">
        <f>Tableau4[[#This Row],[Angle évalué]]&amp;"°"&amp;Tableau4[[#This Row],[Oreille]]</f>
        <v>45arr°D</v>
      </c>
    </row>
    <row r="136" spans="1:9" x14ac:dyDescent="0.25">
      <c r="A136" s="12">
        <v>3</v>
      </c>
      <c r="B136" s="12" t="str">
        <f>Tableau4[[#This Row],[Séquence]]&amp;C135:C136</f>
        <v>35</v>
      </c>
      <c r="C136" s="12">
        <v>5</v>
      </c>
      <c r="D136" s="12">
        <v>7</v>
      </c>
      <c r="E136" s="12" t="s">
        <v>188</v>
      </c>
      <c r="F136" s="12" t="s">
        <v>17</v>
      </c>
      <c r="G136" s="12" t="s">
        <v>190</v>
      </c>
      <c r="H136" s="12" t="s">
        <v>17</v>
      </c>
      <c r="I136" s="12" t="str">
        <f>Tableau4[[#This Row],[Angle évalué]]&amp;"°"&amp;Tableau4[[#This Row],[Oreille]]</f>
        <v>45arr°D</v>
      </c>
    </row>
    <row r="137" spans="1:9" x14ac:dyDescent="0.25">
      <c r="A137" s="12">
        <v>3</v>
      </c>
      <c r="B137" s="12" t="str">
        <f>Tableau4[[#This Row],[Séquence]]&amp;C136:C137</f>
        <v>36</v>
      </c>
      <c r="C137" s="12">
        <v>6</v>
      </c>
      <c r="D137" s="12">
        <v>4</v>
      </c>
      <c r="E137" s="12" t="s">
        <v>184</v>
      </c>
      <c r="F137" s="12" t="s">
        <v>39</v>
      </c>
      <c r="G137" s="12" t="s">
        <v>189</v>
      </c>
      <c r="H137" s="12"/>
      <c r="I137" s="12" t="str">
        <f>Tableau4[[#This Row],[Angle évalué]]&amp;"°"&amp;Tableau4[[#This Row],[Oreille]]</f>
        <v>180°</v>
      </c>
    </row>
    <row r="138" spans="1:9" x14ac:dyDescent="0.25">
      <c r="A138" s="12">
        <v>3</v>
      </c>
      <c r="B138" s="12" t="str">
        <f>Tableau4[[#This Row],[Séquence]]&amp;C137:C138</f>
        <v>37</v>
      </c>
      <c r="C138" s="12">
        <v>7</v>
      </c>
      <c r="D138" s="12">
        <v>8</v>
      </c>
      <c r="E138" s="12" t="s">
        <v>191</v>
      </c>
      <c r="F138" s="12" t="s">
        <v>39</v>
      </c>
      <c r="G138" s="12" t="s">
        <v>192</v>
      </c>
      <c r="H138" s="12"/>
      <c r="I138" s="12" t="str">
        <f>Tableau4[[#This Row],[Angle évalué]]&amp;"°"&amp;Tableau4[[#This Row],[Oreille]]</f>
        <v>0°</v>
      </c>
    </row>
    <row r="139" spans="1:9" x14ac:dyDescent="0.25">
      <c r="A139" s="12">
        <v>3</v>
      </c>
      <c r="B139" s="12" t="str">
        <f>Tableau4[[#This Row],[Séquence]]&amp;C138:C139</f>
        <v>38</v>
      </c>
      <c r="C139" s="12">
        <v>8</v>
      </c>
      <c r="D139" s="12">
        <v>2</v>
      </c>
      <c r="E139" s="12" t="s">
        <v>187</v>
      </c>
      <c r="F139" s="12" t="s">
        <v>17</v>
      </c>
      <c r="G139" s="12" t="s">
        <v>192</v>
      </c>
      <c r="H139" s="12"/>
      <c r="I139" s="12" t="str">
        <f>Tableau4[[#This Row],[Angle évalué]]&amp;"°"&amp;Tableau4[[#This Row],[Oreille]]</f>
        <v>0°</v>
      </c>
    </row>
    <row r="140" spans="1:9" x14ac:dyDescent="0.25">
      <c r="A140" s="12">
        <v>3</v>
      </c>
      <c r="B140" s="12" t="str">
        <f>Tableau4[[#This Row],[Séquence]]&amp;C139:C140</f>
        <v>39</v>
      </c>
      <c r="C140" s="12">
        <v>9</v>
      </c>
      <c r="D140" s="12">
        <v>1</v>
      </c>
      <c r="E140" s="12" t="s">
        <v>184</v>
      </c>
      <c r="F140" s="12" t="s">
        <v>39</v>
      </c>
      <c r="G140" s="12" t="s">
        <v>185</v>
      </c>
      <c r="H140" s="12" t="s">
        <v>39</v>
      </c>
      <c r="I140" s="12" t="str">
        <f>Tableau4[[#This Row],[Angle évalué]]&amp;"°"&amp;Tableau4[[#This Row],[Oreille]]</f>
        <v>45°G</v>
      </c>
    </row>
    <row r="141" spans="1:9" x14ac:dyDescent="0.25">
      <c r="A141" s="12">
        <v>3</v>
      </c>
      <c r="B141" s="12" t="str">
        <f>Tableau4[[#This Row],[Séquence]]&amp;C140:C141</f>
        <v>310</v>
      </c>
      <c r="C141" s="12">
        <v>10</v>
      </c>
      <c r="D141" s="12">
        <v>5</v>
      </c>
      <c r="E141" s="12" t="s">
        <v>187</v>
      </c>
      <c r="F141" s="12" t="s">
        <v>17</v>
      </c>
      <c r="G141" s="12" t="s">
        <v>190</v>
      </c>
      <c r="H141" s="12" t="s">
        <v>39</v>
      </c>
      <c r="I141" s="12" t="str">
        <f>Tableau4[[#This Row],[Angle évalué]]&amp;"°"&amp;Tableau4[[#This Row],[Oreille]]</f>
        <v>45arr°G</v>
      </c>
    </row>
    <row r="142" spans="1:9" x14ac:dyDescent="0.25">
      <c r="A142" s="12">
        <v>3</v>
      </c>
      <c r="B142" s="12" t="str">
        <f>Tableau4[[#This Row],[Séquence]]&amp;C141:C142</f>
        <v>311</v>
      </c>
      <c r="C142" s="12">
        <v>11</v>
      </c>
      <c r="D142" s="12">
        <v>6</v>
      </c>
      <c r="E142" s="12" t="s">
        <v>191</v>
      </c>
      <c r="F142" s="12" t="s">
        <v>39</v>
      </c>
      <c r="G142" s="12" t="s">
        <v>186</v>
      </c>
      <c r="H142" s="12" t="s">
        <v>17</v>
      </c>
      <c r="I142" s="12" t="str">
        <f>Tableau4[[#This Row],[Angle évalué]]&amp;"°"&amp;Tableau4[[#This Row],[Oreille]]</f>
        <v>90°D</v>
      </c>
    </row>
    <row r="143" spans="1:9" x14ac:dyDescent="0.25">
      <c r="A143" s="12">
        <v>3</v>
      </c>
      <c r="B143" s="12" t="str">
        <f>Tableau4[[#This Row],[Séquence]]&amp;C142:C143</f>
        <v>312</v>
      </c>
      <c r="C143" s="12">
        <v>12</v>
      </c>
      <c r="D143" s="12">
        <v>3</v>
      </c>
      <c r="E143" s="12" t="s">
        <v>191</v>
      </c>
      <c r="F143" s="12" t="s">
        <v>17</v>
      </c>
      <c r="G143" s="12" t="s">
        <v>185</v>
      </c>
      <c r="H143" s="12" t="s">
        <v>39</v>
      </c>
      <c r="I143" s="12" t="str">
        <f>Tableau4[[#This Row],[Angle évalué]]&amp;"°"&amp;Tableau4[[#This Row],[Oreille]]</f>
        <v>45°G</v>
      </c>
    </row>
    <row r="144" spans="1:9" x14ac:dyDescent="0.25">
      <c r="A144" s="12">
        <v>3</v>
      </c>
      <c r="B144" s="12" t="str">
        <f>Tableau4[[#This Row],[Séquence]]&amp;C143:C144</f>
        <v>313</v>
      </c>
      <c r="C144" s="12">
        <v>13</v>
      </c>
      <c r="D144" s="12">
        <v>2</v>
      </c>
      <c r="E144" s="12" t="s">
        <v>188</v>
      </c>
      <c r="F144" s="12" t="s">
        <v>39</v>
      </c>
      <c r="G144" s="12" t="s">
        <v>186</v>
      </c>
      <c r="H144" s="12" t="s">
        <v>39</v>
      </c>
      <c r="I144" s="12" t="str">
        <f>Tableau4[[#This Row],[Angle évalué]]&amp;"°"&amp;Tableau4[[#This Row],[Oreille]]</f>
        <v>90°G</v>
      </c>
    </row>
    <row r="145" spans="1:9" x14ac:dyDescent="0.25">
      <c r="A145" s="12">
        <v>3</v>
      </c>
      <c r="B145" s="12" t="str">
        <f>Tableau4[[#This Row],[Séquence]]&amp;C144:C145</f>
        <v>314</v>
      </c>
      <c r="C145" s="12">
        <v>14</v>
      </c>
      <c r="D145" s="12">
        <v>8</v>
      </c>
      <c r="E145" s="12" t="s">
        <v>188</v>
      </c>
      <c r="F145" s="12" t="s">
        <v>39</v>
      </c>
      <c r="G145" s="12" t="s">
        <v>192</v>
      </c>
      <c r="H145" s="12"/>
      <c r="I145" s="12" t="str">
        <f>Tableau4[[#This Row],[Angle évalué]]&amp;"°"&amp;Tableau4[[#This Row],[Oreille]]</f>
        <v>0°</v>
      </c>
    </row>
    <row r="146" spans="1:9" x14ac:dyDescent="0.25">
      <c r="A146" s="12">
        <v>3</v>
      </c>
      <c r="B146" s="12" t="str">
        <f>Tableau4[[#This Row],[Séquence]]&amp;C145:C146</f>
        <v>315</v>
      </c>
      <c r="C146" s="12">
        <v>15</v>
      </c>
      <c r="D146" s="12">
        <v>4</v>
      </c>
      <c r="E146" s="12" t="s">
        <v>191</v>
      </c>
      <c r="F146" s="12" t="s">
        <v>17</v>
      </c>
      <c r="G146" s="12" t="s">
        <v>186</v>
      </c>
      <c r="H146" s="12" t="s">
        <v>39</v>
      </c>
      <c r="I146" s="12" t="str">
        <f>Tableau4[[#This Row],[Angle évalué]]&amp;"°"&amp;Tableau4[[#This Row],[Oreille]]</f>
        <v>90°G</v>
      </c>
    </row>
    <row r="147" spans="1:9" x14ac:dyDescent="0.25">
      <c r="A147" s="12">
        <v>3</v>
      </c>
      <c r="B147" s="12" t="str">
        <f>Tableau4[[#This Row],[Séquence]]&amp;C146:C147</f>
        <v>316</v>
      </c>
      <c r="C147" s="12">
        <v>16</v>
      </c>
      <c r="D147" s="12">
        <v>8</v>
      </c>
      <c r="E147" s="12" t="s">
        <v>184</v>
      </c>
      <c r="F147" s="12" t="s">
        <v>17</v>
      </c>
      <c r="G147" s="12" t="s">
        <v>186</v>
      </c>
      <c r="H147" s="12" t="s">
        <v>17</v>
      </c>
      <c r="I147" s="12" t="str">
        <f>Tableau4[[#This Row],[Angle évalué]]&amp;"°"&amp;Tableau4[[#This Row],[Oreille]]</f>
        <v>90°D</v>
      </c>
    </row>
    <row r="148" spans="1:9" x14ac:dyDescent="0.25">
      <c r="A148" s="12">
        <v>3</v>
      </c>
      <c r="B148" s="12" t="str">
        <f>Tableau4[[#This Row],[Séquence]]&amp;C147:C148</f>
        <v>317</v>
      </c>
      <c r="C148" s="12">
        <v>17</v>
      </c>
      <c r="D148" s="12">
        <v>7</v>
      </c>
      <c r="E148" s="12" t="s">
        <v>187</v>
      </c>
      <c r="F148" s="12" t="s">
        <v>39</v>
      </c>
      <c r="G148" s="12" t="s">
        <v>185</v>
      </c>
      <c r="H148" s="12" t="s">
        <v>17</v>
      </c>
      <c r="I148" s="12" t="str">
        <f>Tableau4[[#This Row],[Angle évalué]]&amp;"°"&amp;Tableau4[[#This Row],[Oreille]]</f>
        <v>45°D</v>
      </c>
    </row>
    <row r="149" spans="1:9" x14ac:dyDescent="0.25">
      <c r="A149" s="12">
        <v>3</v>
      </c>
      <c r="B149" s="12" t="str">
        <f>Tableau4[[#This Row],[Séquence]]&amp;C148:C149</f>
        <v>318</v>
      </c>
      <c r="C149" s="12">
        <v>18</v>
      </c>
      <c r="D149" s="12">
        <v>6</v>
      </c>
      <c r="E149" s="12" t="s">
        <v>188</v>
      </c>
      <c r="F149" s="12" t="s">
        <v>17</v>
      </c>
      <c r="G149" s="12" t="s">
        <v>189</v>
      </c>
      <c r="H149" s="12"/>
      <c r="I149" s="12" t="str">
        <f>Tableau4[[#This Row],[Angle évalué]]&amp;"°"&amp;Tableau4[[#This Row],[Oreille]]</f>
        <v>180°</v>
      </c>
    </row>
    <row r="150" spans="1:9" x14ac:dyDescent="0.25">
      <c r="A150" s="12">
        <v>3</v>
      </c>
      <c r="B150" s="12" t="str">
        <f>Tableau4[[#This Row],[Séquence]]&amp;C149:C150</f>
        <v>319</v>
      </c>
      <c r="C150" s="12">
        <v>19</v>
      </c>
      <c r="D150" s="12">
        <v>4</v>
      </c>
      <c r="E150" s="12" t="s">
        <v>187</v>
      </c>
      <c r="F150" s="12" t="s">
        <v>39</v>
      </c>
      <c r="G150" s="12" t="s">
        <v>189</v>
      </c>
      <c r="H150" s="12"/>
      <c r="I150" s="12" t="str">
        <f>Tableau4[[#This Row],[Angle évalué]]&amp;"°"&amp;Tableau4[[#This Row],[Oreille]]</f>
        <v>180°</v>
      </c>
    </row>
    <row r="151" spans="1:9" x14ac:dyDescent="0.25">
      <c r="A151" s="12">
        <v>3</v>
      </c>
      <c r="B151" s="12" t="str">
        <f>Tableau4[[#This Row],[Séquence]]&amp;C150:C151</f>
        <v>320</v>
      </c>
      <c r="C151" s="12">
        <v>20</v>
      </c>
      <c r="D151" s="12">
        <v>2</v>
      </c>
      <c r="E151" s="12" t="s">
        <v>184</v>
      </c>
      <c r="F151" s="12" t="s">
        <v>39</v>
      </c>
      <c r="G151" s="12" t="s">
        <v>186</v>
      </c>
      <c r="H151" s="12" t="s">
        <v>39</v>
      </c>
      <c r="I151" s="12" t="str">
        <f>Tableau4[[#This Row],[Angle évalué]]&amp;"°"&amp;Tableau4[[#This Row],[Oreille]]</f>
        <v>90°G</v>
      </c>
    </row>
    <row r="152" spans="1:9" x14ac:dyDescent="0.25">
      <c r="A152" s="12">
        <v>3</v>
      </c>
      <c r="B152" s="12" t="str">
        <f>Tableau4[[#This Row],[Séquence]]&amp;C151:C152</f>
        <v>321</v>
      </c>
      <c r="C152" s="12">
        <v>21</v>
      </c>
      <c r="D152" s="12">
        <v>8</v>
      </c>
      <c r="E152" s="12" t="s">
        <v>188</v>
      </c>
      <c r="F152" s="12" t="s">
        <v>17</v>
      </c>
      <c r="G152" s="12" t="s">
        <v>186</v>
      </c>
      <c r="H152" s="12" t="s">
        <v>17</v>
      </c>
      <c r="I152" s="12" t="str">
        <f>Tableau4[[#This Row],[Angle évalué]]&amp;"°"&amp;Tableau4[[#This Row],[Oreille]]</f>
        <v>90°D</v>
      </c>
    </row>
    <row r="153" spans="1:9" x14ac:dyDescent="0.25">
      <c r="A153" s="12">
        <v>3</v>
      </c>
      <c r="B153" s="12" t="str">
        <f>Tableau4[[#This Row],[Séquence]]&amp;C152:C153</f>
        <v>322</v>
      </c>
      <c r="C153" s="12">
        <v>22</v>
      </c>
      <c r="D153" s="12">
        <v>5</v>
      </c>
      <c r="E153" s="12" t="s">
        <v>191</v>
      </c>
      <c r="F153" s="12" t="s">
        <v>17</v>
      </c>
      <c r="G153" s="12" t="s">
        <v>190</v>
      </c>
      <c r="H153" s="12" t="s">
        <v>39</v>
      </c>
      <c r="I153" s="12" t="str">
        <f>Tableau4[[#This Row],[Angle évalué]]&amp;"°"&amp;Tableau4[[#This Row],[Oreille]]</f>
        <v>45arr°G</v>
      </c>
    </row>
    <row r="154" spans="1:9" x14ac:dyDescent="0.25">
      <c r="A154" s="12">
        <v>3</v>
      </c>
      <c r="B154" s="12" t="str">
        <f>Tableau4[[#This Row],[Séquence]]&amp;C153:C154</f>
        <v>323</v>
      </c>
      <c r="C154" s="12">
        <v>23</v>
      </c>
      <c r="D154" s="12">
        <v>3</v>
      </c>
      <c r="E154" s="12" t="s">
        <v>188</v>
      </c>
      <c r="F154" s="12" t="s">
        <v>39</v>
      </c>
      <c r="G154" s="12" t="s">
        <v>190</v>
      </c>
      <c r="H154" s="12" t="s">
        <v>39</v>
      </c>
      <c r="I154" s="12" t="str">
        <f>Tableau4[[#This Row],[Angle évalué]]&amp;"°"&amp;Tableau4[[#This Row],[Oreille]]</f>
        <v>45arr°G</v>
      </c>
    </row>
    <row r="155" spans="1:9" x14ac:dyDescent="0.25">
      <c r="A155" s="12">
        <v>3</v>
      </c>
      <c r="B155" s="12" t="str">
        <f>Tableau4[[#This Row],[Séquence]]&amp;C154:C155</f>
        <v>324</v>
      </c>
      <c r="C155" s="12">
        <v>24</v>
      </c>
      <c r="D155" s="12">
        <v>5</v>
      </c>
      <c r="E155" s="12" t="s">
        <v>191</v>
      </c>
      <c r="F155" s="12" t="s">
        <v>39</v>
      </c>
      <c r="G155" s="12" t="s">
        <v>190</v>
      </c>
      <c r="H155" s="12" t="s">
        <v>17</v>
      </c>
      <c r="I155" s="12" t="str">
        <f>Tableau4[[#This Row],[Angle évalué]]&amp;"°"&amp;Tableau4[[#This Row],[Oreille]]</f>
        <v>45arr°D</v>
      </c>
    </row>
    <row r="156" spans="1:9" x14ac:dyDescent="0.25">
      <c r="A156" s="12">
        <v>3</v>
      </c>
      <c r="B156" s="12" t="str">
        <f>Tableau4[[#This Row],[Séquence]]&amp;C155:C156</f>
        <v>325</v>
      </c>
      <c r="C156" s="12">
        <v>25</v>
      </c>
      <c r="D156" s="12">
        <v>1</v>
      </c>
      <c r="E156" s="12" t="s">
        <v>188</v>
      </c>
      <c r="F156" s="12" t="s">
        <v>17</v>
      </c>
      <c r="G156" s="12" t="s">
        <v>185</v>
      </c>
      <c r="H156" s="12" t="s">
        <v>17</v>
      </c>
      <c r="I156" s="12" t="str">
        <f>Tableau4[[#This Row],[Angle évalué]]&amp;"°"&amp;Tableau4[[#This Row],[Oreille]]</f>
        <v>45°D</v>
      </c>
    </row>
    <row r="157" spans="1:9" x14ac:dyDescent="0.25">
      <c r="A157" s="12">
        <v>3</v>
      </c>
      <c r="B157" s="12" t="str">
        <f>Tableau4[[#This Row],[Séquence]]&amp;C156:C157</f>
        <v>326</v>
      </c>
      <c r="C157" s="12">
        <v>26</v>
      </c>
      <c r="D157" s="12">
        <v>4</v>
      </c>
      <c r="E157" s="12" t="s">
        <v>187</v>
      </c>
      <c r="F157" s="12" t="s">
        <v>17</v>
      </c>
      <c r="G157" s="12" t="s">
        <v>186</v>
      </c>
      <c r="H157" s="12" t="s">
        <v>39</v>
      </c>
      <c r="I157" s="12" t="str">
        <f>Tableau4[[#This Row],[Angle évalué]]&amp;"°"&amp;Tableau4[[#This Row],[Oreille]]</f>
        <v>90°G</v>
      </c>
    </row>
    <row r="158" spans="1:9" x14ac:dyDescent="0.25">
      <c r="A158" s="12">
        <v>3</v>
      </c>
      <c r="B158" s="12" t="str">
        <f>Tableau4[[#This Row],[Séquence]]&amp;C157:C158</f>
        <v>327</v>
      </c>
      <c r="C158" s="12">
        <v>27</v>
      </c>
      <c r="D158" s="12">
        <v>7</v>
      </c>
      <c r="E158" s="12" t="s">
        <v>184</v>
      </c>
      <c r="F158" s="12" t="s">
        <v>17</v>
      </c>
      <c r="G158" s="12" t="s">
        <v>190</v>
      </c>
      <c r="H158" s="12" t="s">
        <v>17</v>
      </c>
      <c r="I158" s="12" t="str">
        <f>Tableau4[[#This Row],[Angle évalué]]&amp;"°"&amp;Tableau4[[#This Row],[Oreille]]</f>
        <v>45arr°D</v>
      </c>
    </row>
    <row r="159" spans="1:9" x14ac:dyDescent="0.25">
      <c r="A159" s="12">
        <v>3</v>
      </c>
      <c r="B159" s="12" t="str">
        <f>Tableau4[[#This Row],[Séquence]]&amp;C158:C159</f>
        <v>328</v>
      </c>
      <c r="C159" s="12">
        <v>28</v>
      </c>
      <c r="D159" s="12">
        <v>1</v>
      </c>
      <c r="E159" s="12" t="s">
        <v>188</v>
      </c>
      <c r="F159" s="12" t="s">
        <v>39</v>
      </c>
      <c r="G159" s="12" t="s">
        <v>185</v>
      </c>
      <c r="H159" s="12" t="s">
        <v>39</v>
      </c>
      <c r="I159" s="12" t="str">
        <f>Tableau4[[#This Row],[Angle évalué]]&amp;"°"&amp;Tableau4[[#This Row],[Oreille]]</f>
        <v>45°G</v>
      </c>
    </row>
    <row r="160" spans="1:9" x14ac:dyDescent="0.25">
      <c r="A160" s="12">
        <v>3</v>
      </c>
      <c r="B160" s="12" t="str">
        <f>Tableau4[[#This Row],[Séquence]]&amp;C159:C160</f>
        <v>329</v>
      </c>
      <c r="C160" s="12">
        <v>29</v>
      </c>
      <c r="D160" s="12">
        <v>3</v>
      </c>
      <c r="E160" s="12" t="s">
        <v>184</v>
      </c>
      <c r="F160" s="12" t="s">
        <v>39</v>
      </c>
      <c r="G160" s="12" t="s">
        <v>190</v>
      </c>
      <c r="H160" s="12" t="s">
        <v>39</v>
      </c>
      <c r="I160" s="12" t="str">
        <f>Tableau4[[#This Row],[Angle évalué]]&amp;"°"&amp;Tableau4[[#This Row],[Oreille]]</f>
        <v>45arr°G</v>
      </c>
    </row>
    <row r="161" spans="1:9" x14ac:dyDescent="0.25">
      <c r="A161" s="12">
        <v>3</v>
      </c>
      <c r="B161" s="12" t="str">
        <f>Tableau4[[#This Row],[Séquence]]&amp;C160:C161</f>
        <v>330</v>
      </c>
      <c r="C161" s="12">
        <v>30</v>
      </c>
      <c r="D161" s="12">
        <v>7</v>
      </c>
      <c r="E161" s="12" t="s">
        <v>191</v>
      </c>
      <c r="F161" s="12" t="s">
        <v>39</v>
      </c>
      <c r="G161" s="12" t="s">
        <v>185</v>
      </c>
      <c r="H161" s="12" t="s">
        <v>17</v>
      </c>
      <c r="I161" s="12" t="str">
        <f>Tableau4[[#This Row],[Angle évalué]]&amp;"°"&amp;Tableau4[[#This Row],[Oreille]]</f>
        <v>45°D</v>
      </c>
    </row>
    <row r="162" spans="1:9" x14ac:dyDescent="0.25">
      <c r="A162" s="12">
        <v>3</v>
      </c>
      <c r="B162" s="12" t="str">
        <f>Tableau4[[#This Row],[Séquence]]&amp;C161:C162</f>
        <v>331</v>
      </c>
      <c r="C162" s="12">
        <v>31</v>
      </c>
      <c r="D162" s="12">
        <v>8</v>
      </c>
      <c r="E162" s="12" t="s">
        <v>188</v>
      </c>
      <c r="F162" s="12" t="s">
        <v>17</v>
      </c>
      <c r="G162" s="12" t="s">
        <v>186</v>
      </c>
      <c r="H162" s="12" t="s">
        <v>17</v>
      </c>
      <c r="I162" s="12" t="str">
        <f>Tableau4[[#This Row],[Angle évalué]]&amp;"°"&amp;Tableau4[[#This Row],[Oreille]]</f>
        <v>90°D</v>
      </c>
    </row>
    <row r="163" spans="1:9" x14ac:dyDescent="0.25">
      <c r="A163" s="12">
        <v>3</v>
      </c>
      <c r="B163" s="12" t="str">
        <f>Tableau4[[#This Row],[Séquence]]&amp;C162:C163</f>
        <v>332</v>
      </c>
      <c r="C163" s="12">
        <v>32</v>
      </c>
      <c r="D163" s="12">
        <v>6</v>
      </c>
      <c r="E163" s="12" t="s">
        <v>187</v>
      </c>
      <c r="F163" s="12" t="s">
        <v>39</v>
      </c>
      <c r="G163" s="12" t="s">
        <v>186</v>
      </c>
      <c r="H163" s="12" t="s">
        <v>17</v>
      </c>
      <c r="I163" s="12" t="str">
        <f>Tableau4[[#This Row],[Angle évalué]]&amp;"°"&amp;Tableau4[[#This Row],[Oreille]]</f>
        <v>90°D</v>
      </c>
    </row>
    <row r="164" spans="1:9" x14ac:dyDescent="0.25">
      <c r="A164" s="12">
        <v>3</v>
      </c>
      <c r="B164" s="12" t="str">
        <f>Tableau4[[#This Row],[Séquence]]&amp;C163:C164</f>
        <v>333</v>
      </c>
      <c r="C164" s="12">
        <v>33</v>
      </c>
      <c r="D164" s="12">
        <v>6</v>
      </c>
      <c r="E164" s="12" t="s">
        <v>187</v>
      </c>
      <c r="F164" s="12" t="s">
        <v>39</v>
      </c>
      <c r="G164" s="12" t="s">
        <v>186</v>
      </c>
      <c r="H164" s="12" t="s">
        <v>17</v>
      </c>
      <c r="I164" s="12" t="str">
        <f>Tableau4[[#This Row],[Angle évalué]]&amp;"°"&amp;Tableau4[[#This Row],[Oreille]]</f>
        <v>90°D</v>
      </c>
    </row>
    <row r="165" spans="1:9" x14ac:dyDescent="0.25">
      <c r="A165" s="12">
        <v>3</v>
      </c>
      <c r="B165" s="12" t="str">
        <f>Tableau4[[#This Row],[Séquence]]&amp;C164:C165</f>
        <v>334</v>
      </c>
      <c r="C165" s="12">
        <v>34</v>
      </c>
      <c r="D165" s="12">
        <v>1</v>
      </c>
      <c r="E165" s="12" t="s">
        <v>184</v>
      </c>
      <c r="F165" s="12" t="s">
        <v>17</v>
      </c>
      <c r="G165" s="12" t="s">
        <v>185</v>
      </c>
      <c r="H165" s="12" t="s">
        <v>17</v>
      </c>
      <c r="I165" s="12" t="str">
        <f>Tableau4[[#This Row],[Angle évalué]]&amp;"°"&amp;Tableau4[[#This Row],[Oreille]]</f>
        <v>45°D</v>
      </c>
    </row>
    <row r="166" spans="1:9" x14ac:dyDescent="0.25">
      <c r="A166" s="12">
        <v>3</v>
      </c>
      <c r="B166" s="12" t="str">
        <f>Tableau4[[#This Row],[Séquence]]&amp;C165:C166</f>
        <v>335</v>
      </c>
      <c r="C166" s="12">
        <v>35</v>
      </c>
      <c r="D166" s="12">
        <v>7</v>
      </c>
      <c r="E166" s="12" t="s">
        <v>191</v>
      </c>
      <c r="F166" s="12" t="s">
        <v>39</v>
      </c>
      <c r="G166" s="12" t="s">
        <v>185</v>
      </c>
      <c r="H166" s="12" t="s">
        <v>17</v>
      </c>
      <c r="I166" s="12" t="str">
        <f>Tableau4[[#This Row],[Angle évalué]]&amp;"°"&amp;Tableau4[[#This Row],[Oreille]]</f>
        <v>45°D</v>
      </c>
    </row>
    <row r="167" spans="1:9" x14ac:dyDescent="0.25">
      <c r="A167" s="12">
        <v>3</v>
      </c>
      <c r="B167" s="12" t="str">
        <f>Tableau4[[#This Row],[Séquence]]&amp;C166:C167</f>
        <v>336</v>
      </c>
      <c r="C167" s="12">
        <v>36</v>
      </c>
      <c r="D167" s="12">
        <v>3</v>
      </c>
      <c r="E167" s="12" t="s">
        <v>184</v>
      </c>
      <c r="F167" s="12" t="s">
        <v>39</v>
      </c>
      <c r="G167" s="12" t="s">
        <v>190</v>
      </c>
      <c r="H167" s="12" t="s">
        <v>39</v>
      </c>
      <c r="I167" s="12" t="str">
        <f>Tableau4[[#This Row],[Angle évalué]]&amp;"°"&amp;Tableau4[[#This Row],[Oreille]]</f>
        <v>45arr°G</v>
      </c>
    </row>
    <row r="168" spans="1:9" x14ac:dyDescent="0.25">
      <c r="A168" s="12">
        <v>3</v>
      </c>
      <c r="B168" s="12" t="str">
        <f>Tableau4[[#This Row],[Séquence]]&amp;C167:C168</f>
        <v>337</v>
      </c>
      <c r="C168" s="12">
        <v>37</v>
      </c>
      <c r="D168" s="12">
        <v>1</v>
      </c>
      <c r="E168" s="12" t="s">
        <v>188</v>
      </c>
      <c r="F168" s="12" t="s">
        <v>39</v>
      </c>
      <c r="G168" s="12" t="s">
        <v>185</v>
      </c>
      <c r="H168" s="12" t="s">
        <v>39</v>
      </c>
      <c r="I168" s="12" t="str">
        <f>Tableau4[[#This Row],[Angle évalué]]&amp;"°"&amp;Tableau4[[#This Row],[Oreille]]</f>
        <v>45°G</v>
      </c>
    </row>
    <row r="169" spans="1:9" x14ac:dyDescent="0.25">
      <c r="A169" s="12">
        <v>3</v>
      </c>
      <c r="B169" s="12" t="str">
        <f>Tableau4[[#This Row],[Séquence]]&amp;C168:C169</f>
        <v>338</v>
      </c>
      <c r="C169" s="12">
        <v>38</v>
      </c>
      <c r="D169" s="12">
        <v>7</v>
      </c>
      <c r="E169" s="12" t="s">
        <v>184</v>
      </c>
      <c r="F169" s="12" t="s">
        <v>17</v>
      </c>
      <c r="G169" s="12" t="s">
        <v>190</v>
      </c>
      <c r="H169" s="12" t="s">
        <v>17</v>
      </c>
      <c r="I169" s="12" t="str">
        <f>Tableau4[[#This Row],[Angle évalué]]&amp;"°"&amp;Tableau4[[#This Row],[Oreille]]</f>
        <v>45arr°D</v>
      </c>
    </row>
    <row r="170" spans="1:9" x14ac:dyDescent="0.25">
      <c r="A170" s="12">
        <v>3</v>
      </c>
      <c r="B170" s="12" t="str">
        <f>Tableau4[[#This Row],[Séquence]]&amp;C169:C170</f>
        <v>339</v>
      </c>
      <c r="C170" s="12">
        <v>39</v>
      </c>
      <c r="D170" s="12">
        <v>4</v>
      </c>
      <c r="E170" s="12" t="s">
        <v>187</v>
      </c>
      <c r="F170" s="12" t="s">
        <v>17</v>
      </c>
      <c r="G170" s="12" t="s">
        <v>186</v>
      </c>
      <c r="H170" s="12" t="s">
        <v>39</v>
      </c>
      <c r="I170" s="12" t="str">
        <f>Tableau4[[#This Row],[Angle évalué]]&amp;"°"&amp;Tableau4[[#This Row],[Oreille]]</f>
        <v>90°G</v>
      </c>
    </row>
    <row r="171" spans="1:9" x14ac:dyDescent="0.25">
      <c r="A171" s="12">
        <v>3</v>
      </c>
      <c r="B171" s="12" t="str">
        <f>Tableau4[[#This Row],[Séquence]]&amp;C170:C171</f>
        <v>340</v>
      </c>
      <c r="C171" s="12">
        <v>40</v>
      </c>
      <c r="D171" s="12">
        <v>1</v>
      </c>
      <c r="E171" s="12" t="s">
        <v>188</v>
      </c>
      <c r="F171" s="12" t="s">
        <v>17</v>
      </c>
      <c r="G171" s="12" t="s">
        <v>185</v>
      </c>
      <c r="H171" s="12" t="s">
        <v>17</v>
      </c>
      <c r="I171" s="12" t="str">
        <f>Tableau4[[#This Row],[Angle évalué]]&amp;"°"&amp;Tableau4[[#This Row],[Oreille]]</f>
        <v>45°D</v>
      </c>
    </row>
    <row r="172" spans="1:9" x14ac:dyDescent="0.25">
      <c r="A172" s="12">
        <v>3</v>
      </c>
      <c r="B172" s="12" t="str">
        <f>Tableau4[[#This Row],[Séquence]]&amp;C171:C172</f>
        <v>341</v>
      </c>
      <c r="C172" s="12">
        <v>41</v>
      </c>
      <c r="D172" s="12">
        <v>5</v>
      </c>
      <c r="E172" s="12" t="s">
        <v>191</v>
      </c>
      <c r="F172" s="12" t="s">
        <v>39</v>
      </c>
      <c r="G172" s="12" t="s">
        <v>190</v>
      </c>
      <c r="H172" s="12" t="s">
        <v>17</v>
      </c>
      <c r="I172" s="12" t="str">
        <f>Tableau4[[#This Row],[Angle évalué]]&amp;"°"&amp;Tableau4[[#This Row],[Oreille]]</f>
        <v>45arr°D</v>
      </c>
    </row>
    <row r="173" spans="1:9" x14ac:dyDescent="0.25">
      <c r="A173" s="12">
        <v>3</v>
      </c>
      <c r="B173" s="12" t="str">
        <f>Tableau4[[#This Row],[Séquence]]&amp;C172:C173</f>
        <v>342</v>
      </c>
      <c r="C173" s="12">
        <v>42</v>
      </c>
      <c r="D173" s="12">
        <v>3</v>
      </c>
      <c r="E173" s="12" t="s">
        <v>188</v>
      </c>
      <c r="F173" s="12" t="s">
        <v>39</v>
      </c>
      <c r="G173" s="12" t="s">
        <v>190</v>
      </c>
      <c r="H173" s="12" t="s">
        <v>39</v>
      </c>
      <c r="I173" s="12" t="str">
        <f>Tableau4[[#This Row],[Angle évalué]]&amp;"°"&amp;Tableau4[[#This Row],[Oreille]]</f>
        <v>45arr°G</v>
      </c>
    </row>
    <row r="174" spans="1:9" x14ac:dyDescent="0.25">
      <c r="A174" s="12">
        <v>3</v>
      </c>
      <c r="B174" s="12" t="str">
        <f>Tableau4[[#This Row],[Séquence]]&amp;C173:C174</f>
        <v>343</v>
      </c>
      <c r="C174" s="12">
        <v>43</v>
      </c>
      <c r="D174" s="12">
        <v>5</v>
      </c>
      <c r="E174" s="12" t="s">
        <v>191</v>
      </c>
      <c r="F174" s="12" t="s">
        <v>17</v>
      </c>
      <c r="G174" s="12" t="s">
        <v>190</v>
      </c>
      <c r="H174" s="12" t="s">
        <v>39</v>
      </c>
      <c r="I174" s="12" t="str">
        <f>Tableau4[[#This Row],[Angle évalué]]&amp;"°"&amp;Tableau4[[#This Row],[Oreille]]</f>
        <v>45arr°G</v>
      </c>
    </row>
    <row r="175" spans="1:9" x14ac:dyDescent="0.25">
      <c r="A175" s="12">
        <v>3</v>
      </c>
      <c r="B175" s="12" t="str">
        <f>Tableau4[[#This Row],[Séquence]]&amp;C174:C175</f>
        <v>344</v>
      </c>
      <c r="C175" s="12">
        <v>44</v>
      </c>
      <c r="D175" s="12">
        <v>1</v>
      </c>
      <c r="E175" s="12" t="s">
        <v>184</v>
      </c>
      <c r="F175" s="12" t="s">
        <v>17</v>
      </c>
      <c r="G175" s="12" t="s">
        <v>185</v>
      </c>
      <c r="H175" s="12" t="s">
        <v>17</v>
      </c>
      <c r="I175" s="12" t="str">
        <f>Tableau4[[#This Row],[Angle évalué]]&amp;"°"&amp;Tableau4[[#This Row],[Oreille]]</f>
        <v>45°D</v>
      </c>
    </row>
    <row r="176" spans="1:9" x14ac:dyDescent="0.25">
      <c r="A176" s="12">
        <v>3</v>
      </c>
      <c r="B176" s="12" t="str">
        <f>Tableau4[[#This Row],[Séquence]]&amp;C175:C176</f>
        <v>345</v>
      </c>
      <c r="C176" s="12">
        <v>45</v>
      </c>
      <c r="D176" s="12">
        <v>2</v>
      </c>
      <c r="E176" s="12" t="s">
        <v>184</v>
      </c>
      <c r="F176" s="12" t="s">
        <v>39</v>
      </c>
      <c r="G176" s="12" t="s">
        <v>186</v>
      </c>
      <c r="H176" s="12" t="s">
        <v>39</v>
      </c>
      <c r="I176" s="12" t="str">
        <f>Tableau4[[#This Row],[Angle évalué]]&amp;"°"&amp;Tableau4[[#This Row],[Oreille]]</f>
        <v>90°G</v>
      </c>
    </row>
    <row r="177" spans="1:9" x14ac:dyDescent="0.25">
      <c r="A177" s="12">
        <v>3</v>
      </c>
      <c r="B177" s="12" t="str">
        <f>Tableau4[[#This Row],[Séquence]]&amp;C176:C177</f>
        <v>346</v>
      </c>
      <c r="C177" s="12">
        <v>46</v>
      </c>
      <c r="D177" s="12">
        <v>4</v>
      </c>
      <c r="E177" s="12" t="s">
        <v>187</v>
      </c>
      <c r="F177" s="12" t="s">
        <v>39</v>
      </c>
      <c r="G177" s="12" t="s">
        <v>189</v>
      </c>
      <c r="H177" s="12"/>
      <c r="I177" s="12" t="str">
        <f>Tableau4[[#This Row],[Angle évalué]]&amp;"°"&amp;Tableau4[[#This Row],[Oreille]]</f>
        <v>180°</v>
      </c>
    </row>
    <row r="178" spans="1:9" x14ac:dyDescent="0.25">
      <c r="A178" s="12">
        <v>3</v>
      </c>
      <c r="B178" s="12" t="str">
        <f>Tableau4[[#This Row],[Séquence]]&amp;C177:C178</f>
        <v>347</v>
      </c>
      <c r="C178" s="12">
        <v>47</v>
      </c>
      <c r="D178" s="12">
        <v>6</v>
      </c>
      <c r="E178" s="12" t="s">
        <v>188</v>
      </c>
      <c r="F178" s="12" t="s">
        <v>17</v>
      </c>
      <c r="G178" s="12" t="s">
        <v>189</v>
      </c>
      <c r="H178" s="12"/>
      <c r="I178" s="12" t="str">
        <f>Tableau4[[#This Row],[Angle évalué]]&amp;"°"&amp;Tableau4[[#This Row],[Oreille]]</f>
        <v>180°</v>
      </c>
    </row>
    <row r="179" spans="1:9" x14ac:dyDescent="0.25">
      <c r="A179" s="12">
        <v>3</v>
      </c>
      <c r="B179" s="12" t="str">
        <f>Tableau4[[#This Row],[Séquence]]&amp;C178:C179</f>
        <v>348</v>
      </c>
      <c r="C179" s="12">
        <v>48</v>
      </c>
      <c r="D179" s="12">
        <v>7</v>
      </c>
      <c r="E179" s="12" t="s">
        <v>187</v>
      </c>
      <c r="F179" s="12" t="s">
        <v>39</v>
      </c>
      <c r="G179" s="12" t="s">
        <v>185</v>
      </c>
      <c r="H179" s="12" t="s">
        <v>17</v>
      </c>
      <c r="I179" s="12" t="str">
        <f>Tableau4[[#This Row],[Angle évalué]]&amp;"°"&amp;Tableau4[[#This Row],[Oreille]]</f>
        <v>45°D</v>
      </c>
    </row>
    <row r="180" spans="1:9" x14ac:dyDescent="0.25">
      <c r="A180" s="12">
        <v>3</v>
      </c>
      <c r="B180" s="12" t="str">
        <f>Tableau4[[#This Row],[Séquence]]&amp;C179:C180</f>
        <v>349</v>
      </c>
      <c r="C180" s="12">
        <v>49</v>
      </c>
      <c r="D180" s="12">
        <v>8</v>
      </c>
      <c r="E180" s="12" t="s">
        <v>184</v>
      </c>
      <c r="F180" s="12" t="s">
        <v>17</v>
      </c>
      <c r="G180" s="12" t="s">
        <v>186</v>
      </c>
      <c r="H180" s="12" t="s">
        <v>17</v>
      </c>
      <c r="I180" s="12" t="str">
        <f>Tableau4[[#This Row],[Angle évalué]]&amp;"°"&amp;Tableau4[[#This Row],[Oreille]]</f>
        <v>90°D</v>
      </c>
    </row>
    <row r="181" spans="1:9" x14ac:dyDescent="0.25">
      <c r="A181" s="12">
        <v>3</v>
      </c>
      <c r="B181" s="12" t="str">
        <f>Tableau4[[#This Row],[Séquence]]&amp;C180:C181</f>
        <v>350</v>
      </c>
      <c r="C181" s="12">
        <v>50</v>
      </c>
      <c r="D181" s="12">
        <v>4</v>
      </c>
      <c r="E181" s="12" t="s">
        <v>191</v>
      </c>
      <c r="F181" s="12" t="s">
        <v>17</v>
      </c>
      <c r="G181" s="12" t="s">
        <v>186</v>
      </c>
      <c r="H181" s="12" t="s">
        <v>39</v>
      </c>
      <c r="I181" s="12" t="str">
        <f>Tableau4[[#This Row],[Angle évalué]]&amp;"°"&amp;Tableau4[[#This Row],[Oreille]]</f>
        <v>90°G</v>
      </c>
    </row>
    <row r="182" spans="1:9" x14ac:dyDescent="0.25">
      <c r="A182" s="12">
        <v>3</v>
      </c>
      <c r="B182" s="12" t="str">
        <f>Tableau4[[#This Row],[Séquence]]&amp;C181:C182</f>
        <v>351</v>
      </c>
      <c r="C182" s="12">
        <v>51</v>
      </c>
      <c r="D182" s="12">
        <v>8</v>
      </c>
      <c r="E182" s="12" t="s">
        <v>188</v>
      </c>
      <c r="F182" s="12" t="s">
        <v>39</v>
      </c>
      <c r="G182" s="12" t="s">
        <v>192</v>
      </c>
      <c r="H182" s="12"/>
      <c r="I182" s="12" t="str">
        <f>Tableau4[[#This Row],[Angle évalué]]&amp;"°"&amp;Tableau4[[#This Row],[Oreille]]</f>
        <v>0°</v>
      </c>
    </row>
    <row r="183" spans="1:9" x14ac:dyDescent="0.25">
      <c r="A183" s="12">
        <v>3</v>
      </c>
      <c r="B183" s="12" t="str">
        <f>Tableau4[[#This Row],[Séquence]]&amp;C182:C183</f>
        <v>352</v>
      </c>
      <c r="C183" s="12">
        <v>52</v>
      </c>
      <c r="D183" s="12">
        <v>2</v>
      </c>
      <c r="E183" s="12" t="s">
        <v>188</v>
      </c>
      <c r="F183" s="12" t="s">
        <v>39</v>
      </c>
      <c r="G183" s="12" t="s">
        <v>186</v>
      </c>
      <c r="H183" s="12" t="s">
        <v>39</v>
      </c>
      <c r="I183" s="12" t="str">
        <f>Tableau4[[#This Row],[Angle évalué]]&amp;"°"&amp;Tableau4[[#This Row],[Oreille]]</f>
        <v>90°G</v>
      </c>
    </row>
    <row r="184" spans="1:9" x14ac:dyDescent="0.25">
      <c r="A184" s="12">
        <v>3</v>
      </c>
      <c r="B184" s="12" t="str">
        <f>Tableau4[[#This Row],[Séquence]]&amp;C183:C184</f>
        <v>353</v>
      </c>
      <c r="C184" s="12">
        <v>53</v>
      </c>
      <c r="D184" s="12">
        <v>3</v>
      </c>
      <c r="E184" s="12" t="s">
        <v>191</v>
      </c>
      <c r="F184" s="12" t="s">
        <v>17</v>
      </c>
      <c r="G184" s="12" t="s">
        <v>185</v>
      </c>
      <c r="H184" s="12" t="s">
        <v>39</v>
      </c>
      <c r="I184" s="12" t="str">
        <f>Tableau4[[#This Row],[Angle évalué]]&amp;"°"&amp;Tableau4[[#This Row],[Oreille]]</f>
        <v>45°G</v>
      </c>
    </row>
    <row r="185" spans="1:9" x14ac:dyDescent="0.25">
      <c r="A185" s="12">
        <v>3</v>
      </c>
      <c r="B185" s="12" t="str">
        <f>Tableau4[[#This Row],[Séquence]]&amp;C184:C185</f>
        <v>354</v>
      </c>
      <c r="C185" s="12">
        <v>54</v>
      </c>
      <c r="D185" s="12">
        <v>6</v>
      </c>
      <c r="E185" s="12" t="s">
        <v>191</v>
      </c>
      <c r="F185" s="12" t="s">
        <v>39</v>
      </c>
      <c r="G185" s="12" t="s">
        <v>186</v>
      </c>
      <c r="H185" s="12" t="s">
        <v>17</v>
      </c>
      <c r="I185" s="12" t="str">
        <f>Tableau4[[#This Row],[Angle évalué]]&amp;"°"&amp;Tableau4[[#This Row],[Oreille]]</f>
        <v>90°D</v>
      </c>
    </row>
    <row r="186" spans="1:9" x14ac:dyDescent="0.25">
      <c r="A186" s="12">
        <v>3</v>
      </c>
      <c r="B186" s="12" t="str">
        <f>Tableau4[[#This Row],[Séquence]]&amp;C185:C186</f>
        <v>355</v>
      </c>
      <c r="C186" s="12">
        <v>55</v>
      </c>
      <c r="D186" s="12">
        <v>5</v>
      </c>
      <c r="E186" s="12" t="s">
        <v>187</v>
      </c>
      <c r="F186" s="12" t="s">
        <v>17</v>
      </c>
      <c r="G186" s="12" t="s">
        <v>190</v>
      </c>
      <c r="H186" s="12" t="s">
        <v>39</v>
      </c>
      <c r="I186" s="12" t="str">
        <f>Tableau4[[#This Row],[Angle évalué]]&amp;"°"&amp;Tableau4[[#This Row],[Oreille]]</f>
        <v>45arr°G</v>
      </c>
    </row>
    <row r="187" spans="1:9" x14ac:dyDescent="0.25">
      <c r="A187" s="12">
        <v>3</v>
      </c>
      <c r="B187" s="12" t="str">
        <f>Tableau4[[#This Row],[Séquence]]&amp;C186:C187</f>
        <v>356</v>
      </c>
      <c r="C187" s="12">
        <v>56</v>
      </c>
      <c r="D187" s="12">
        <v>1</v>
      </c>
      <c r="E187" s="12" t="s">
        <v>184</v>
      </c>
      <c r="F187" s="12" t="s">
        <v>39</v>
      </c>
      <c r="G187" s="12" t="s">
        <v>185</v>
      </c>
      <c r="H187" s="12" t="s">
        <v>39</v>
      </c>
      <c r="I187" s="12" t="str">
        <f>Tableau4[[#This Row],[Angle évalué]]&amp;"°"&amp;Tableau4[[#This Row],[Oreille]]</f>
        <v>45°G</v>
      </c>
    </row>
    <row r="188" spans="1:9" x14ac:dyDescent="0.25">
      <c r="A188" s="12">
        <v>3</v>
      </c>
      <c r="B188" s="12" t="str">
        <f>Tableau4[[#This Row],[Séquence]]&amp;C187:C188</f>
        <v>357</v>
      </c>
      <c r="C188" s="12">
        <v>57</v>
      </c>
      <c r="D188" s="12">
        <v>2</v>
      </c>
      <c r="E188" s="12" t="s">
        <v>187</v>
      </c>
      <c r="F188" s="12" t="s">
        <v>17</v>
      </c>
      <c r="G188" s="12" t="s">
        <v>192</v>
      </c>
      <c r="H188" s="12"/>
      <c r="I188" s="12" t="str">
        <f>Tableau4[[#This Row],[Angle évalué]]&amp;"°"&amp;Tableau4[[#This Row],[Oreille]]</f>
        <v>0°</v>
      </c>
    </row>
    <row r="189" spans="1:9" x14ac:dyDescent="0.25">
      <c r="A189" s="12">
        <v>3</v>
      </c>
      <c r="B189" s="12" t="str">
        <f>Tableau4[[#This Row],[Séquence]]&amp;C188:C189</f>
        <v>358</v>
      </c>
      <c r="C189" s="12">
        <v>58</v>
      </c>
      <c r="D189" s="12">
        <v>8</v>
      </c>
      <c r="E189" s="12" t="s">
        <v>191</v>
      </c>
      <c r="F189" s="12" t="s">
        <v>39</v>
      </c>
      <c r="G189" s="12" t="s">
        <v>192</v>
      </c>
      <c r="H189" s="12"/>
      <c r="I189" s="12" t="str">
        <f>Tableau4[[#This Row],[Angle évalué]]&amp;"°"&amp;Tableau4[[#This Row],[Oreille]]</f>
        <v>0°</v>
      </c>
    </row>
    <row r="190" spans="1:9" x14ac:dyDescent="0.25">
      <c r="A190" s="12">
        <v>3</v>
      </c>
      <c r="B190" s="12" t="str">
        <f>Tableau4[[#This Row],[Séquence]]&amp;C189:C190</f>
        <v>359</v>
      </c>
      <c r="C190" s="12">
        <v>59</v>
      </c>
      <c r="D190" s="12">
        <v>4</v>
      </c>
      <c r="E190" s="12" t="s">
        <v>184</v>
      </c>
      <c r="F190" s="12" t="s">
        <v>39</v>
      </c>
      <c r="G190" s="12" t="s">
        <v>189</v>
      </c>
      <c r="H190" s="12"/>
      <c r="I190" s="12" t="str">
        <f>Tableau4[[#This Row],[Angle évalué]]&amp;"°"&amp;Tableau4[[#This Row],[Oreille]]</f>
        <v>180°</v>
      </c>
    </row>
    <row r="191" spans="1:9" x14ac:dyDescent="0.25">
      <c r="A191" s="12">
        <v>3</v>
      </c>
      <c r="B191" s="12" t="str">
        <f>Tableau4[[#This Row],[Séquence]]&amp;C190:C191</f>
        <v>360</v>
      </c>
      <c r="C191" s="12">
        <v>60</v>
      </c>
      <c r="D191" s="12">
        <v>7</v>
      </c>
      <c r="E191" s="12" t="s">
        <v>188</v>
      </c>
      <c r="F191" s="12" t="s">
        <v>17</v>
      </c>
      <c r="G191" s="12" t="s">
        <v>190</v>
      </c>
      <c r="H191" s="12" t="s">
        <v>17</v>
      </c>
      <c r="I191" s="12" t="str">
        <f>Tableau4[[#This Row],[Angle évalué]]&amp;"°"&amp;Tableau4[[#This Row],[Oreille]]</f>
        <v>45arr°D</v>
      </c>
    </row>
    <row r="192" spans="1:9" x14ac:dyDescent="0.25">
      <c r="A192" s="12">
        <v>3</v>
      </c>
      <c r="B192" s="12" t="str">
        <f>Tableau4[[#This Row],[Séquence]]&amp;C191:C192</f>
        <v>361</v>
      </c>
      <c r="C192" s="12">
        <v>61</v>
      </c>
      <c r="D192" s="12">
        <v>5</v>
      </c>
      <c r="E192" s="12" t="s">
        <v>187</v>
      </c>
      <c r="F192" s="12" t="s">
        <v>39</v>
      </c>
      <c r="G192" s="12" t="s">
        <v>190</v>
      </c>
      <c r="H192" s="12" t="s">
        <v>17</v>
      </c>
      <c r="I192" s="12" t="str">
        <f>Tableau4[[#This Row],[Angle évalué]]&amp;"°"&amp;Tableau4[[#This Row],[Oreille]]</f>
        <v>45arr°D</v>
      </c>
    </row>
    <row r="193" spans="1:9" x14ac:dyDescent="0.25">
      <c r="A193" s="12">
        <v>3</v>
      </c>
      <c r="B193" s="12" t="str">
        <f>Tableau4[[#This Row],[Séquence]]&amp;C192:C193</f>
        <v>362</v>
      </c>
      <c r="C193" s="12">
        <v>62</v>
      </c>
      <c r="D193" s="12">
        <v>2</v>
      </c>
      <c r="E193" s="12" t="s">
        <v>184</v>
      </c>
      <c r="F193" s="12" t="s">
        <v>17</v>
      </c>
      <c r="G193" s="12" t="s">
        <v>192</v>
      </c>
      <c r="H193" s="12"/>
      <c r="I193" s="12" t="str">
        <f>Tableau4[[#This Row],[Angle évalué]]&amp;"°"&amp;Tableau4[[#This Row],[Oreille]]</f>
        <v>0°</v>
      </c>
    </row>
    <row r="194" spans="1:9" x14ac:dyDescent="0.25">
      <c r="A194" s="12">
        <v>3</v>
      </c>
      <c r="B194" s="12" t="str">
        <f>Tableau4[[#This Row],[Séquence]]&amp;C193:C194</f>
        <v>363</v>
      </c>
      <c r="C194" s="12">
        <v>63</v>
      </c>
      <c r="D194" s="12">
        <v>6</v>
      </c>
      <c r="E194" s="12" t="s">
        <v>191</v>
      </c>
      <c r="F194" s="12" t="s">
        <v>17</v>
      </c>
      <c r="G194" s="12" t="s">
        <v>189</v>
      </c>
      <c r="H194" s="12"/>
      <c r="I194" s="12" t="str">
        <f>Tableau4[[#This Row],[Angle évalué]]&amp;"°"&amp;Tableau4[[#This Row],[Oreille]]</f>
        <v>180°</v>
      </c>
    </row>
    <row r="195" spans="1:9" x14ac:dyDescent="0.25">
      <c r="A195" s="12">
        <v>3</v>
      </c>
      <c r="B195" s="12" t="str">
        <f>Tableau4[[#This Row],[Séquence]]&amp;C194:C195</f>
        <v>364</v>
      </c>
      <c r="C195" s="12">
        <v>64</v>
      </c>
      <c r="D195" s="12">
        <v>3</v>
      </c>
      <c r="E195" s="12" t="s">
        <v>187</v>
      </c>
      <c r="F195" s="12" t="s">
        <v>17</v>
      </c>
      <c r="G195" s="12" t="s">
        <v>185</v>
      </c>
      <c r="H195" s="12" t="s">
        <v>39</v>
      </c>
      <c r="I195" s="12" t="str">
        <f>Tableau4[[#This Row],[Angle évalué]]&amp;"°"&amp;Tableau4[[#This Row],[Oreille]]</f>
        <v>45°G</v>
      </c>
    </row>
    <row r="196" spans="1:9" x14ac:dyDescent="0.25">
      <c r="A196" s="12">
        <v>4</v>
      </c>
      <c r="B196" s="12" t="str">
        <f>Tableau4[[#This Row],[Séquence]]&amp;C195:C196</f>
        <v>41</v>
      </c>
      <c r="C196" s="12">
        <v>1</v>
      </c>
      <c r="D196" s="12">
        <v>4</v>
      </c>
      <c r="E196" s="12" t="s">
        <v>187</v>
      </c>
      <c r="F196" s="12" t="s">
        <v>39</v>
      </c>
      <c r="G196" s="12" t="s">
        <v>189</v>
      </c>
      <c r="H196" s="12"/>
      <c r="I196" s="12" t="str">
        <f>Tableau4[[#This Row],[Angle évalué]]&amp;"°"&amp;Tableau4[[#This Row],[Oreille]]</f>
        <v>180°</v>
      </c>
    </row>
    <row r="197" spans="1:9" x14ac:dyDescent="0.25">
      <c r="A197" s="12">
        <v>4</v>
      </c>
      <c r="B197" s="12" t="str">
        <f>Tableau4[[#This Row],[Séquence]]&amp;C196:C197</f>
        <v>42</v>
      </c>
      <c r="C197" s="12">
        <v>2</v>
      </c>
      <c r="D197" s="12">
        <v>8</v>
      </c>
      <c r="E197" s="12" t="s">
        <v>184</v>
      </c>
      <c r="F197" s="12" t="s">
        <v>17</v>
      </c>
      <c r="G197" s="12" t="s">
        <v>186</v>
      </c>
      <c r="H197" s="12" t="s">
        <v>17</v>
      </c>
      <c r="I197" s="12" t="str">
        <f>Tableau4[[#This Row],[Angle évalué]]&amp;"°"&amp;Tableau4[[#This Row],[Oreille]]</f>
        <v>90°D</v>
      </c>
    </row>
    <row r="198" spans="1:9" x14ac:dyDescent="0.25">
      <c r="A198" s="12">
        <v>4</v>
      </c>
      <c r="B198" s="12" t="str">
        <f>Tableau4[[#This Row],[Séquence]]&amp;C197:C198</f>
        <v>43</v>
      </c>
      <c r="C198" s="12">
        <v>3</v>
      </c>
      <c r="D198" s="12">
        <v>3</v>
      </c>
      <c r="E198" s="12" t="s">
        <v>191</v>
      </c>
      <c r="F198" s="12" t="s">
        <v>17</v>
      </c>
      <c r="G198" s="12" t="s">
        <v>185</v>
      </c>
      <c r="H198" s="12" t="s">
        <v>39</v>
      </c>
      <c r="I198" s="12" t="str">
        <f>Tableau4[[#This Row],[Angle évalué]]&amp;"°"&amp;Tableau4[[#This Row],[Oreille]]</f>
        <v>45°G</v>
      </c>
    </row>
    <row r="199" spans="1:9" x14ac:dyDescent="0.25">
      <c r="A199" s="12">
        <v>4</v>
      </c>
      <c r="B199" s="12" t="str">
        <f>Tableau4[[#This Row],[Séquence]]&amp;C198:C199</f>
        <v>44</v>
      </c>
      <c r="C199" s="12">
        <v>4</v>
      </c>
      <c r="D199" s="12">
        <v>2</v>
      </c>
      <c r="E199" s="12" t="s">
        <v>184</v>
      </c>
      <c r="F199" s="12" t="s">
        <v>17</v>
      </c>
      <c r="G199" s="12" t="s">
        <v>192</v>
      </c>
      <c r="H199" s="12"/>
      <c r="I199" s="12" t="str">
        <f>Tableau4[[#This Row],[Angle évalué]]&amp;"°"&amp;Tableau4[[#This Row],[Oreille]]</f>
        <v>0°</v>
      </c>
    </row>
    <row r="200" spans="1:9" x14ac:dyDescent="0.25">
      <c r="A200" s="12">
        <v>4</v>
      </c>
      <c r="B200" s="12" t="str">
        <f>Tableau4[[#This Row],[Séquence]]&amp;C199:C200</f>
        <v>45</v>
      </c>
      <c r="C200" s="12">
        <v>5</v>
      </c>
      <c r="D200" s="12">
        <v>5</v>
      </c>
      <c r="E200" s="12" t="s">
        <v>187</v>
      </c>
      <c r="F200" s="12" t="s">
        <v>39</v>
      </c>
      <c r="G200" s="12" t="s">
        <v>190</v>
      </c>
      <c r="H200" s="12" t="s">
        <v>17</v>
      </c>
      <c r="I200" s="12" t="str">
        <f>Tableau4[[#This Row],[Angle évalué]]&amp;"°"&amp;Tableau4[[#This Row],[Oreille]]</f>
        <v>45arr°D</v>
      </c>
    </row>
    <row r="201" spans="1:9" x14ac:dyDescent="0.25">
      <c r="A201" s="12">
        <v>4</v>
      </c>
      <c r="B201" s="12" t="str">
        <f>Tableau4[[#This Row],[Séquence]]&amp;C200:C201</f>
        <v>46</v>
      </c>
      <c r="C201" s="12">
        <v>6</v>
      </c>
      <c r="D201" s="12">
        <v>6</v>
      </c>
      <c r="E201" s="12" t="s">
        <v>191</v>
      </c>
      <c r="F201" s="12" t="s">
        <v>39</v>
      </c>
      <c r="G201" s="12" t="s">
        <v>186</v>
      </c>
      <c r="H201" s="12" t="s">
        <v>17</v>
      </c>
      <c r="I201" s="12" t="str">
        <f>Tableau4[[#This Row],[Angle évalué]]&amp;"°"&amp;Tableau4[[#This Row],[Oreille]]</f>
        <v>90°D</v>
      </c>
    </row>
    <row r="202" spans="1:9" x14ac:dyDescent="0.25">
      <c r="A202" s="12">
        <v>4</v>
      </c>
      <c r="B202" s="12" t="str">
        <f>Tableau4[[#This Row],[Séquence]]&amp;C201:C202</f>
        <v>47</v>
      </c>
      <c r="C202" s="12">
        <v>7</v>
      </c>
      <c r="D202" s="12">
        <v>5</v>
      </c>
      <c r="E202" s="12" t="s">
        <v>191</v>
      </c>
      <c r="F202" s="12" t="s">
        <v>17</v>
      </c>
      <c r="G202" s="12" t="s">
        <v>190</v>
      </c>
      <c r="H202" s="12" t="s">
        <v>39</v>
      </c>
      <c r="I202" s="12" t="str">
        <f>Tableau4[[#This Row],[Angle évalué]]&amp;"°"&amp;Tableau4[[#This Row],[Oreille]]</f>
        <v>45arr°G</v>
      </c>
    </row>
    <row r="203" spans="1:9" x14ac:dyDescent="0.25">
      <c r="A203" s="12">
        <v>4</v>
      </c>
      <c r="B203" s="12" t="str">
        <f>Tableau4[[#This Row],[Séquence]]&amp;C202:C203</f>
        <v>48</v>
      </c>
      <c r="C203" s="12">
        <v>8</v>
      </c>
      <c r="D203" s="12">
        <v>8</v>
      </c>
      <c r="E203" s="12" t="s">
        <v>188</v>
      </c>
      <c r="F203" s="12" t="s">
        <v>17</v>
      </c>
      <c r="G203" s="12" t="s">
        <v>186</v>
      </c>
      <c r="H203" s="12" t="s">
        <v>17</v>
      </c>
      <c r="I203" s="12" t="str">
        <f>Tableau4[[#This Row],[Angle évalué]]&amp;"°"&amp;Tableau4[[#This Row],[Oreille]]</f>
        <v>90°D</v>
      </c>
    </row>
    <row r="204" spans="1:9" x14ac:dyDescent="0.25">
      <c r="A204" s="12">
        <v>4</v>
      </c>
      <c r="B204" s="12" t="str">
        <f>Tableau4[[#This Row],[Séquence]]&amp;C203:C204</f>
        <v>49</v>
      </c>
      <c r="C204" s="12">
        <v>9</v>
      </c>
      <c r="D204" s="12">
        <v>1</v>
      </c>
      <c r="E204" s="12" t="s">
        <v>184</v>
      </c>
      <c r="F204" s="12" t="s">
        <v>39</v>
      </c>
      <c r="G204" s="12" t="s">
        <v>185</v>
      </c>
      <c r="H204" s="12" t="s">
        <v>39</v>
      </c>
      <c r="I204" s="12" t="str">
        <f>Tableau4[[#This Row],[Angle évalué]]&amp;"°"&amp;Tableau4[[#This Row],[Oreille]]</f>
        <v>45°G</v>
      </c>
    </row>
    <row r="205" spans="1:9" x14ac:dyDescent="0.25">
      <c r="A205" s="12">
        <v>4</v>
      </c>
      <c r="B205" s="12" t="str">
        <f>Tableau4[[#This Row],[Séquence]]&amp;C204:C205</f>
        <v>410</v>
      </c>
      <c r="C205" s="12">
        <v>10</v>
      </c>
      <c r="D205" s="12">
        <v>2</v>
      </c>
      <c r="E205" s="12" t="s">
        <v>187</v>
      </c>
      <c r="F205" s="12" t="s">
        <v>17</v>
      </c>
      <c r="G205" s="12" t="s">
        <v>192</v>
      </c>
      <c r="H205" s="12"/>
      <c r="I205" s="12" t="str">
        <f>Tableau4[[#This Row],[Angle évalué]]&amp;"°"&amp;Tableau4[[#This Row],[Oreille]]</f>
        <v>0°</v>
      </c>
    </row>
    <row r="206" spans="1:9" x14ac:dyDescent="0.25">
      <c r="A206" s="12">
        <v>4</v>
      </c>
      <c r="B206" s="12" t="str">
        <f>Tableau4[[#This Row],[Séquence]]&amp;C205:C206</f>
        <v>411</v>
      </c>
      <c r="C206" s="12">
        <v>11</v>
      </c>
      <c r="D206" s="12">
        <v>8</v>
      </c>
      <c r="E206" s="12" t="s">
        <v>191</v>
      </c>
      <c r="F206" s="12" t="s">
        <v>39</v>
      </c>
      <c r="G206" s="12" t="s">
        <v>192</v>
      </c>
      <c r="H206" s="12"/>
      <c r="I206" s="12" t="str">
        <f>Tableau4[[#This Row],[Angle évalué]]&amp;"°"&amp;Tableau4[[#This Row],[Oreille]]</f>
        <v>0°</v>
      </c>
    </row>
    <row r="207" spans="1:9" x14ac:dyDescent="0.25">
      <c r="A207" s="12">
        <v>4</v>
      </c>
      <c r="B207" s="12" t="str">
        <f>Tableau4[[#This Row],[Séquence]]&amp;C206:C207</f>
        <v>412</v>
      </c>
      <c r="C207" s="12">
        <v>12</v>
      </c>
      <c r="D207" s="12">
        <v>1</v>
      </c>
      <c r="E207" s="12" t="s">
        <v>184</v>
      </c>
      <c r="F207" s="12" t="s">
        <v>17</v>
      </c>
      <c r="G207" s="12" t="s">
        <v>185</v>
      </c>
      <c r="H207" s="12" t="s">
        <v>17</v>
      </c>
      <c r="I207" s="12" t="str">
        <f>Tableau4[[#This Row],[Angle évalué]]&amp;"°"&amp;Tableau4[[#This Row],[Oreille]]</f>
        <v>45°D</v>
      </c>
    </row>
    <row r="208" spans="1:9" x14ac:dyDescent="0.25">
      <c r="A208" s="12">
        <v>4</v>
      </c>
      <c r="B208" s="12" t="str">
        <f>Tableau4[[#This Row],[Séquence]]&amp;C207:C208</f>
        <v>413</v>
      </c>
      <c r="C208" s="12">
        <v>13</v>
      </c>
      <c r="D208" s="12">
        <v>3</v>
      </c>
      <c r="E208" s="12" t="s">
        <v>188</v>
      </c>
      <c r="F208" s="12" t="s">
        <v>39</v>
      </c>
      <c r="G208" s="12" t="s">
        <v>190</v>
      </c>
      <c r="H208" s="12" t="s">
        <v>39</v>
      </c>
      <c r="I208" s="12" t="str">
        <f>Tableau4[[#This Row],[Angle évalué]]&amp;"°"&amp;Tableau4[[#This Row],[Oreille]]</f>
        <v>45arr°G</v>
      </c>
    </row>
    <row r="209" spans="1:9" x14ac:dyDescent="0.25">
      <c r="A209" s="12">
        <v>4</v>
      </c>
      <c r="B209" s="12" t="str">
        <f>Tableau4[[#This Row],[Séquence]]&amp;C208:C209</f>
        <v>414</v>
      </c>
      <c r="C209" s="12">
        <v>14</v>
      </c>
      <c r="D209" s="12">
        <v>6</v>
      </c>
      <c r="E209" s="12" t="s">
        <v>191</v>
      </c>
      <c r="F209" s="12" t="s">
        <v>17</v>
      </c>
      <c r="G209" s="12" t="s">
        <v>189</v>
      </c>
      <c r="H209" s="12"/>
      <c r="I209" s="12" t="str">
        <f>Tableau4[[#This Row],[Angle évalué]]&amp;"°"&amp;Tableau4[[#This Row],[Oreille]]</f>
        <v>180°</v>
      </c>
    </row>
    <row r="210" spans="1:9" x14ac:dyDescent="0.25">
      <c r="A210" s="12">
        <v>4</v>
      </c>
      <c r="B210" s="12" t="str">
        <f>Tableau4[[#This Row],[Séquence]]&amp;C209:C210</f>
        <v>415</v>
      </c>
      <c r="C210" s="12">
        <v>15</v>
      </c>
      <c r="D210" s="12">
        <v>1</v>
      </c>
      <c r="E210" s="12" t="s">
        <v>188</v>
      </c>
      <c r="F210" s="12" t="s">
        <v>39</v>
      </c>
      <c r="G210" s="12" t="s">
        <v>185</v>
      </c>
      <c r="H210" s="12" t="s">
        <v>39</v>
      </c>
      <c r="I210" s="12" t="str">
        <f>Tableau4[[#This Row],[Angle évalué]]&amp;"°"&amp;Tableau4[[#This Row],[Oreille]]</f>
        <v>45°G</v>
      </c>
    </row>
    <row r="211" spans="1:9" x14ac:dyDescent="0.25">
      <c r="A211" s="12">
        <v>4</v>
      </c>
      <c r="B211" s="12" t="str">
        <f>Tableau4[[#This Row],[Séquence]]&amp;C210:C211</f>
        <v>416</v>
      </c>
      <c r="C211" s="12">
        <v>16</v>
      </c>
      <c r="D211" s="12">
        <v>3</v>
      </c>
      <c r="E211" s="12" t="s">
        <v>184</v>
      </c>
      <c r="F211" s="12" t="s">
        <v>39</v>
      </c>
      <c r="G211" s="12" t="s">
        <v>190</v>
      </c>
      <c r="H211" s="12" t="s">
        <v>39</v>
      </c>
      <c r="I211" s="12" t="str">
        <f>Tableau4[[#This Row],[Angle évalué]]&amp;"°"&amp;Tableau4[[#This Row],[Oreille]]</f>
        <v>45arr°G</v>
      </c>
    </row>
    <row r="212" spans="1:9" x14ac:dyDescent="0.25">
      <c r="A212" s="12">
        <v>4</v>
      </c>
      <c r="B212" s="12" t="str">
        <f>Tableau4[[#This Row],[Séquence]]&amp;C211:C212</f>
        <v>417</v>
      </c>
      <c r="C212" s="12">
        <v>17</v>
      </c>
      <c r="D212" s="12">
        <v>5</v>
      </c>
      <c r="E212" s="12" t="s">
        <v>187</v>
      </c>
      <c r="F212" s="12" t="s">
        <v>17</v>
      </c>
      <c r="G212" s="12" t="s">
        <v>190</v>
      </c>
      <c r="H212" s="12" t="s">
        <v>39</v>
      </c>
      <c r="I212" s="12" t="str">
        <f>Tableau4[[#This Row],[Angle évalué]]&amp;"°"&amp;Tableau4[[#This Row],[Oreille]]</f>
        <v>45arr°G</v>
      </c>
    </row>
    <row r="213" spans="1:9" x14ac:dyDescent="0.25">
      <c r="A213" s="12">
        <v>4</v>
      </c>
      <c r="B213" s="12" t="str">
        <f>Tableau4[[#This Row],[Séquence]]&amp;C212:C213</f>
        <v>418</v>
      </c>
      <c r="C213" s="12">
        <v>18</v>
      </c>
      <c r="D213" s="12">
        <v>2</v>
      </c>
      <c r="E213" s="12" t="s">
        <v>188</v>
      </c>
      <c r="F213" s="12" t="s">
        <v>39</v>
      </c>
      <c r="G213" s="12" t="s">
        <v>186</v>
      </c>
      <c r="H213" s="12" t="s">
        <v>39</v>
      </c>
      <c r="I213" s="12" t="str">
        <f>Tableau4[[#This Row],[Angle évalué]]&amp;"°"&amp;Tableau4[[#This Row],[Oreille]]</f>
        <v>90°G</v>
      </c>
    </row>
    <row r="214" spans="1:9" x14ac:dyDescent="0.25">
      <c r="A214" s="12">
        <v>4</v>
      </c>
      <c r="B214" s="12" t="str">
        <f>Tableau4[[#This Row],[Séquence]]&amp;C213:C214</f>
        <v>419</v>
      </c>
      <c r="C214" s="12">
        <v>19</v>
      </c>
      <c r="D214" s="12">
        <v>3</v>
      </c>
      <c r="E214" s="12" t="s">
        <v>187</v>
      </c>
      <c r="F214" s="12" t="s">
        <v>17</v>
      </c>
      <c r="G214" s="12" t="s">
        <v>185</v>
      </c>
      <c r="H214" s="12" t="s">
        <v>39</v>
      </c>
      <c r="I214" s="12" t="str">
        <f>Tableau4[[#This Row],[Angle évalué]]&amp;"°"&amp;Tableau4[[#This Row],[Oreille]]</f>
        <v>45°G</v>
      </c>
    </row>
    <row r="215" spans="1:9" x14ac:dyDescent="0.25">
      <c r="A215" s="12">
        <v>4</v>
      </c>
      <c r="B215" s="12" t="str">
        <f>Tableau4[[#This Row],[Séquence]]&amp;C214:C215</f>
        <v>420</v>
      </c>
      <c r="C215" s="12">
        <v>20</v>
      </c>
      <c r="D215" s="12">
        <v>5</v>
      </c>
      <c r="E215" s="12" t="s">
        <v>191</v>
      </c>
      <c r="F215" s="12" t="s">
        <v>39</v>
      </c>
      <c r="G215" s="12" t="s">
        <v>190</v>
      </c>
      <c r="H215" s="12" t="s">
        <v>17</v>
      </c>
      <c r="I215" s="12" t="str">
        <f>Tableau4[[#This Row],[Angle évalué]]&amp;"°"&amp;Tableau4[[#This Row],[Oreille]]</f>
        <v>45arr°D</v>
      </c>
    </row>
    <row r="216" spans="1:9" x14ac:dyDescent="0.25">
      <c r="A216" s="12">
        <v>4</v>
      </c>
      <c r="B216" s="12" t="str">
        <f>Tableau4[[#This Row],[Séquence]]&amp;C215:C216</f>
        <v>421</v>
      </c>
      <c r="C216" s="12">
        <v>21</v>
      </c>
      <c r="D216" s="12">
        <v>8</v>
      </c>
      <c r="E216" s="12" t="s">
        <v>188</v>
      </c>
      <c r="F216" s="12" t="s">
        <v>17</v>
      </c>
      <c r="G216" s="12" t="s">
        <v>190</v>
      </c>
      <c r="H216" s="12" t="s">
        <v>17</v>
      </c>
      <c r="I216" s="12" t="str">
        <f>Tableau4[[#This Row],[Angle évalué]]&amp;"°"&amp;Tableau4[[#This Row],[Oreille]]</f>
        <v>45arr°D</v>
      </c>
    </row>
    <row r="217" spans="1:9" x14ac:dyDescent="0.25">
      <c r="A217" s="12">
        <v>4</v>
      </c>
      <c r="B217" s="12" t="str">
        <f>Tableau4[[#This Row],[Séquence]]&amp;C216:C217</f>
        <v>422</v>
      </c>
      <c r="C217" s="12">
        <v>22</v>
      </c>
      <c r="D217" s="12">
        <v>4</v>
      </c>
      <c r="E217" s="12" t="s">
        <v>184</v>
      </c>
      <c r="F217" s="12" t="s">
        <v>39</v>
      </c>
      <c r="G217" s="12" t="s">
        <v>189</v>
      </c>
      <c r="H217" s="12"/>
      <c r="I217" s="12" t="str">
        <f>Tableau4[[#This Row],[Angle évalué]]&amp;"°"&amp;Tableau4[[#This Row],[Oreille]]</f>
        <v>180°</v>
      </c>
    </row>
    <row r="218" spans="1:9" x14ac:dyDescent="0.25">
      <c r="A218" s="12">
        <v>4</v>
      </c>
      <c r="B218" s="12" t="str">
        <f>Tableau4[[#This Row],[Séquence]]&amp;C217:C218</f>
        <v>423</v>
      </c>
      <c r="C218" s="12">
        <v>23</v>
      </c>
      <c r="D218" s="12">
        <v>8</v>
      </c>
      <c r="E218" s="12" t="s">
        <v>188</v>
      </c>
      <c r="F218" s="12" t="s">
        <v>39</v>
      </c>
      <c r="G218" s="12" t="s">
        <v>192</v>
      </c>
      <c r="H218" s="12"/>
      <c r="I218" s="12" t="str">
        <f>Tableau4[[#This Row],[Angle évalué]]&amp;"°"&amp;Tableau4[[#This Row],[Oreille]]</f>
        <v>0°</v>
      </c>
    </row>
    <row r="219" spans="1:9" x14ac:dyDescent="0.25">
      <c r="A219" s="12">
        <v>4</v>
      </c>
      <c r="B219" s="12" t="str">
        <f>Tableau4[[#This Row],[Séquence]]&amp;C218:C219</f>
        <v>424</v>
      </c>
      <c r="C219" s="12">
        <v>24</v>
      </c>
      <c r="D219" s="12">
        <v>4</v>
      </c>
      <c r="E219" s="12" t="s">
        <v>191</v>
      </c>
      <c r="F219" s="12" t="s">
        <v>17</v>
      </c>
      <c r="G219" s="12" t="s">
        <v>186</v>
      </c>
      <c r="H219" s="12" t="s">
        <v>39</v>
      </c>
      <c r="I219" s="12" t="str">
        <f>Tableau4[[#This Row],[Angle évalué]]&amp;"°"&amp;Tableau4[[#This Row],[Oreille]]</f>
        <v>90°G</v>
      </c>
    </row>
    <row r="220" spans="1:9" x14ac:dyDescent="0.25">
      <c r="A220" s="12">
        <v>4</v>
      </c>
      <c r="B220" s="12" t="str">
        <f>Tableau4[[#This Row],[Séquence]]&amp;C219:C220</f>
        <v>425</v>
      </c>
      <c r="C220" s="12">
        <v>25</v>
      </c>
      <c r="D220" s="12">
        <v>7</v>
      </c>
      <c r="E220" s="12" t="s">
        <v>191</v>
      </c>
      <c r="F220" s="12" t="s">
        <v>39</v>
      </c>
      <c r="G220" s="12" t="s">
        <v>185</v>
      </c>
      <c r="H220" s="12" t="s">
        <v>17</v>
      </c>
      <c r="I220" s="12" t="str">
        <f>Tableau4[[#This Row],[Angle évalué]]&amp;"°"&amp;Tableau4[[#This Row],[Oreille]]</f>
        <v>45°D</v>
      </c>
    </row>
    <row r="221" spans="1:9" x14ac:dyDescent="0.25">
      <c r="A221" s="12">
        <v>4</v>
      </c>
      <c r="B221" s="12" t="str">
        <f>Tableau4[[#This Row],[Séquence]]&amp;C220:C221</f>
        <v>426</v>
      </c>
      <c r="C221" s="12">
        <v>26</v>
      </c>
      <c r="D221" s="12">
        <v>6</v>
      </c>
      <c r="E221" s="12" t="s">
        <v>187</v>
      </c>
      <c r="F221" s="12" t="s">
        <v>39</v>
      </c>
      <c r="G221" s="12" t="s">
        <v>186</v>
      </c>
      <c r="H221" s="12" t="s">
        <v>17</v>
      </c>
      <c r="I221" s="12" t="str">
        <f>Tableau4[[#This Row],[Angle évalué]]&amp;"°"&amp;Tableau4[[#This Row],[Oreille]]</f>
        <v>90°D</v>
      </c>
    </row>
    <row r="222" spans="1:9" x14ac:dyDescent="0.25">
      <c r="A222" s="12">
        <v>4</v>
      </c>
      <c r="B222" s="12" t="str">
        <f>Tableau4[[#This Row],[Séquence]]&amp;C221:C222</f>
        <v>427</v>
      </c>
      <c r="C222" s="12">
        <v>27</v>
      </c>
      <c r="D222" s="12">
        <v>1</v>
      </c>
      <c r="E222" s="12" t="s">
        <v>188</v>
      </c>
      <c r="F222" s="12" t="s">
        <v>17</v>
      </c>
      <c r="G222" s="12" t="s">
        <v>185</v>
      </c>
      <c r="H222" s="12" t="s">
        <v>17</v>
      </c>
      <c r="I222" s="12" t="str">
        <f>Tableau4[[#This Row],[Angle évalué]]&amp;"°"&amp;Tableau4[[#This Row],[Oreille]]</f>
        <v>45°D</v>
      </c>
    </row>
    <row r="223" spans="1:9" x14ac:dyDescent="0.25">
      <c r="A223" s="12">
        <v>4</v>
      </c>
      <c r="B223" s="12" t="str">
        <f>Tableau4[[#This Row],[Séquence]]&amp;C222:C223</f>
        <v>428</v>
      </c>
      <c r="C223" s="12">
        <v>28</v>
      </c>
      <c r="D223" s="12">
        <v>7</v>
      </c>
      <c r="E223" s="12" t="s">
        <v>184</v>
      </c>
      <c r="F223" s="12" t="s">
        <v>17</v>
      </c>
      <c r="G223" s="12" t="s">
        <v>190</v>
      </c>
      <c r="H223" s="12" t="s">
        <v>17</v>
      </c>
      <c r="I223" s="12" t="str">
        <f>Tableau4[[#This Row],[Angle évalué]]&amp;"°"&amp;Tableau4[[#This Row],[Oreille]]</f>
        <v>45arr°D</v>
      </c>
    </row>
    <row r="224" spans="1:9" x14ac:dyDescent="0.25">
      <c r="A224" s="12">
        <v>4</v>
      </c>
      <c r="B224" s="12" t="str">
        <f>Tableau4[[#This Row],[Séquence]]&amp;C223:C224</f>
        <v>429</v>
      </c>
      <c r="C224" s="12">
        <v>29</v>
      </c>
      <c r="D224" s="12">
        <v>6</v>
      </c>
      <c r="E224" s="12" t="s">
        <v>188</v>
      </c>
      <c r="F224" s="12" t="s">
        <v>17</v>
      </c>
      <c r="G224" s="12" t="s">
        <v>189</v>
      </c>
      <c r="H224" s="12"/>
      <c r="I224" s="12" t="str">
        <f>Tableau4[[#This Row],[Angle évalué]]&amp;"°"&amp;Tableau4[[#This Row],[Oreille]]</f>
        <v>180°</v>
      </c>
    </row>
    <row r="225" spans="1:9" x14ac:dyDescent="0.25">
      <c r="A225" s="12">
        <v>4</v>
      </c>
      <c r="B225" s="12" t="str">
        <f>Tableau4[[#This Row],[Séquence]]&amp;C224:C225</f>
        <v>430</v>
      </c>
      <c r="C225" s="12">
        <v>30</v>
      </c>
      <c r="D225" s="12">
        <v>7</v>
      </c>
      <c r="E225" s="12" t="s">
        <v>187</v>
      </c>
      <c r="F225" s="12" t="s">
        <v>39</v>
      </c>
      <c r="G225" s="12" t="s">
        <v>185</v>
      </c>
      <c r="H225" s="12" t="s">
        <v>17</v>
      </c>
      <c r="I225" s="12" t="str">
        <f>Tableau4[[#This Row],[Angle évalué]]&amp;"°"&amp;Tableau4[[#This Row],[Oreille]]</f>
        <v>45°D</v>
      </c>
    </row>
    <row r="226" spans="1:9" x14ac:dyDescent="0.25">
      <c r="A226" s="12">
        <v>4</v>
      </c>
      <c r="B226" s="12" t="str">
        <f>Tableau4[[#This Row],[Séquence]]&amp;C225:C226</f>
        <v>431</v>
      </c>
      <c r="C226" s="12">
        <v>31</v>
      </c>
      <c r="D226" s="12">
        <v>2</v>
      </c>
      <c r="E226" s="12" t="s">
        <v>184</v>
      </c>
      <c r="F226" s="12" t="s">
        <v>39</v>
      </c>
      <c r="G226" s="12" t="s">
        <v>186</v>
      </c>
      <c r="H226" s="12" t="s">
        <v>39</v>
      </c>
      <c r="I226" s="12" t="str">
        <f>Tableau4[[#This Row],[Angle évalué]]&amp;"°"&amp;Tableau4[[#This Row],[Oreille]]</f>
        <v>90°G</v>
      </c>
    </row>
    <row r="227" spans="1:9" x14ac:dyDescent="0.25">
      <c r="A227" s="12">
        <v>4</v>
      </c>
      <c r="B227" s="12" t="str">
        <f>Tableau4[[#This Row],[Séquence]]&amp;C226:C227</f>
        <v>432</v>
      </c>
      <c r="C227" s="12">
        <v>32</v>
      </c>
      <c r="D227" s="12">
        <v>1</v>
      </c>
      <c r="E227" s="12" t="s">
        <v>184</v>
      </c>
      <c r="F227" s="12" t="s">
        <v>17</v>
      </c>
      <c r="G227" s="12" t="s">
        <v>185</v>
      </c>
      <c r="H227" s="12" t="s">
        <v>17</v>
      </c>
      <c r="I227" s="12" t="str">
        <f>Tableau4[[#This Row],[Angle évalué]]&amp;"°"&amp;Tableau4[[#This Row],[Oreille]]</f>
        <v>45°D</v>
      </c>
    </row>
    <row r="228" spans="1:9" x14ac:dyDescent="0.25">
      <c r="A228" s="12">
        <v>4</v>
      </c>
      <c r="B228" s="12" t="str">
        <f>Tableau4[[#This Row],[Séquence]]&amp;C227:C228</f>
        <v>433</v>
      </c>
      <c r="C228" s="12">
        <v>33</v>
      </c>
      <c r="D228" s="12">
        <v>2</v>
      </c>
      <c r="E228" s="12" t="s">
        <v>184</v>
      </c>
      <c r="F228" s="12" t="s">
        <v>39</v>
      </c>
      <c r="G228" s="12" t="s">
        <v>186</v>
      </c>
      <c r="H228" s="12" t="s">
        <v>39</v>
      </c>
      <c r="I228" s="12" t="str">
        <f>Tableau4[[#This Row],[Angle évalué]]&amp;"°"&amp;Tableau4[[#This Row],[Oreille]]</f>
        <v>90°G</v>
      </c>
    </row>
    <row r="229" spans="1:9" x14ac:dyDescent="0.25">
      <c r="A229" s="12">
        <v>4</v>
      </c>
      <c r="B229" s="12" t="str">
        <f>Tableau4[[#This Row],[Séquence]]&amp;C228:C229</f>
        <v>434</v>
      </c>
      <c r="C229" s="12">
        <v>34</v>
      </c>
      <c r="D229" s="12">
        <v>7</v>
      </c>
      <c r="E229" s="12" t="s">
        <v>187</v>
      </c>
      <c r="F229" s="12" t="s">
        <v>39</v>
      </c>
      <c r="G229" s="12" t="s">
        <v>185</v>
      </c>
      <c r="H229" s="12" t="s">
        <v>17</v>
      </c>
      <c r="I229" s="12" t="str">
        <f>Tableau4[[#This Row],[Angle évalué]]&amp;"°"&amp;Tableau4[[#This Row],[Oreille]]</f>
        <v>45°D</v>
      </c>
    </row>
    <row r="230" spans="1:9" x14ac:dyDescent="0.25">
      <c r="A230" s="12">
        <v>4</v>
      </c>
      <c r="B230" s="12" t="str">
        <f>Tableau4[[#This Row],[Séquence]]&amp;C229:C230</f>
        <v>435</v>
      </c>
      <c r="C230" s="12">
        <v>35</v>
      </c>
      <c r="D230" s="12">
        <v>5</v>
      </c>
      <c r="E230" s="12" t="s">
        <v>187</v>
      </c>
      <c r="F230" s="12" t="s">
        <v>39</v>
      </c>
      <c r="G230" s="12" t="s">
        <v>190</v>
      </c>
      <c r="H230" s="12" t="s">
        <v>17</v>
      </c>
      <c r="I230" s="12" t="str">
        <f>Tableau4[[#This Row],[Angle évalué]]&amp;"°"&amp;Tableau4[[#This Row],[Oreille]]</f>
        <v>45arr°D</v>
      </c>
    </row>
    <row r="231" spans="1:9" x14ac:dyDescent="0.25">
      <c r="A231" s="12">
        <v>4</v>
      </c>
      <c r="B231" s="12" t="str">
        <f>Tableau4[[#This Row],[Séquence]]&amp;C230:C231</f>
        <v>436</v>
      </c>
      <c r="C231" s="12">
        <v>36</v>
      </c>
      <c r="D231" s="12">
        <v>6</v>
      </c>
      <c r="E231" s="12" t="s">
        <v>188</v>
      </c>
      <c r="F231" s="12" t="s">
        <v>17</v>
      </c>
      <c r="G231" s="12" t="s">
        <v>189</v>
      </c>
      <c r="H231" s="12"/>
      <c r="I231" s="12" t="str">
        <f>Tableau4[[#This Row],[Angle évalué]]&amp;"°"&amp;Tableau4[[#This Row],[Oreille]]</f>
        <v>180°</v>
      </c>
    </row>
    <row r="232" spans="1:9" x14ac:dyDescent="0.25">
      <c r="A232" s="12">
        <v>4</v>
      </c>
      <c r="B232" s="12" t="str">
        <f>Tableau4[[#This Row],[Séquence]]&amp;C231:C232</f>
        <v>437</v>
      </c>
      <c r="C232" s="12">
        <v>37</v>
      </c>
      <c r="D232" s="12">
        <v>7</v>
      </c>
      <c r="E232" s="12" t="s">
        <v>184</v>
      </c>
      <c r="F232" s="12" t="s">
        <v>17</v>
      </c>
      <c r="G232" s="12" t="s">
        <v>190</v>
      </c>
      <c r="H232" s="12" t="s">
        <v>17</v>
      </c>
      <c r="I232" s="12" t="str">
        <f>Tableau4[[#This Row],[Angle évalué]]&amp;"°"&amp;Tableau4[[#This Row],[Oreille]]</f>
        <v>45arr°D</v>
      </c>
    </row>
    <row r="233" spans="1:9" x14ac:dyDescent="0.25">
      <c r="A233" s="12">
        <v>4</v>
      </c>
      <c r="B233" s="12" t="str">
        <f>Tableau4[[#This Row],[Séquence]]&amp;C232:C233</f>
        <v>438</v>
      </c>
      <c r="C233" s="12">
        <v>38</v>
      </c>
      <c r="D233" s="12">
        <v>1</v>
      </c>
      <c r="E233" s="12" t="s">
        <v>188</v>
      </c>
      <c r="F233" s="12" t="s">
        <v>17</v>
      </c>
      <c r="G233" s="12" t="s">
        <v>185</v>
      </c>
      <c r="H233" s="12" t="s">
        <v>17</v>
      </c>
      <c r="I233" s="12" t="str">
        <f>Tableau4[[#This Row],[Angle évalué]]&amp;"°"&amp;Tableau4[[#This Row],[Oreille]]</f>
        <v>45°D</v>
      </c>
    </row>
    <row r="234" spans="1:9" x14ac:dyDescent="0.25">
      <c r="A234" s="12">
        <v>4</v>
      </c>
      <c r="B234" s="12" t="str">
        <f>Tableau4[[#This Row],[Séquence]]&amp;C233:C234</f>
        <v>439</v>
      </c>
      <c r="C234" s="12">
        <v>39</v>
      </c>
      <c r="D234" s="12">
        <v>6</v>
      </c>
      <c r="E234" s="12" t="s">
        <v>187</v>
      </c>
      <c r="F234" s="12" t="s">
        <v>39</v>
      </c>
      <c r="G234" s="12" t="s">
        <v>186</v>
      </c>
      <c r="H234" s="12" t="s">
        <v>17</v>
      </c>
      <c r="I234" s="12" t="str">
        <f>Tableau4[[#This Row],[Angle évalué]]&amp;"°"&amp;Tableau4[[#This Row],[Oreille]]</f>
        <v>90°D</v>
      </c>
    </row>
    <row r="235" spans="1:9" x14ac:dyDescent="0.25">
      <c r="A235" s="12">
        <v>4</v>
      </c>
      <c r="B235" s="12" t="str">
        <f>Tableau4[[#This Row],[Séquence]]&amp;C234:C235</f>
        <v>440</v>
      </c>
      <c r="C235" s="12">
        <v>40</v>
      </c>
      <c r="D235" s="12">
        <v>7</v>
      </c>
      <c r="E235" s="12" t="s">
        <v>191</v>
      </c>
      <c r="F235" s="12" t="s">
        <v>39</v>
      </c>
      <c r="G235" s="12" t="s">
        <v>185</v>
      </c>
      <c r="H235" s="12" t="s">
        <v>17</v>
      </c>
      <c r="I235" s="12" t="str">
        <f>Tableau4[[#This Row],[Angle évalué]]&amp;"°"&amp;Tableau4[[#This Row],[Oreille]]</f>
        <v>45°D</v>
      </c>
    </row>
    <row r="236" spans="1:9" x14ac:dyDescent="0.25">
      <c r="A236" s="12">
        <v>4</v>
      </c>
      <c r="B236" s="12" t="str">
        <f>Tableau4[[#This Row],[Séquence]]&amp;C235:C236</f>
        <v>441</v>
      </c>
      <c r="C236" s="12">
        <v>41</v>
      </c>
      <c r="D236" s="12">
        <v>4</v>
      </c>
      <c r="E236" s="12" t="s">
        <v>191</v>
      </c>
      <c r="F236" s="12" t="s">
        <v>17</v>
      </c>
      <c r="G236" s="12" t="s">
        <v>186</v>
      </c>
      <c r="H236" s="12" t="s">
        <v>39</v>
      </c>
      <c r="I236" s="12" t="str">
        <f>Tableau4[[#This Row],[Angle évalué]]&amp;"°"&amp;Tableau4[[#This Row],[Oreille]]</f>
        <v>90°G</v>
      </c>
    </row>
    <row r="237" spans="1:9" x14ac:dyDescent="0.25">
      <c r="A237" s="12">
        <v>4</v>
      </c>
      <c r="B237" s="12" t="str">
        <f>Tableau4[[#This Row],[Séquence]]&amp;C236:C237</f>
        <v>442</v>
      </c>
      <c r="C237" s="12">
        <v>42</v>
      </c>
      <c r="D237" s="12">
        <v>8</v>
      </c>
      <c r="E237" s="12" t="s">
        <v>188</v>
      </c>
      <c r="F237" s="12" t="s">
        <v>39</v>
      </c>
      <c r="G237" s="12" t="s">
        <v>192</v>
      </c>
      <c r="H237" s="12"/>
      <c r="I237" s="12" t="str">
        <f>Tableau4[[#This Row],[Angle évalué]]&amp;"°"&amp;Tableau4[[#This Row],[Oreille]]</f>
        <v>0°</v>
      </c>
    </row>
    <row r="238" spans="1:9" x14ac:dyDescent="0.25">
      <c r="A238" s="12">
        <v>4</v>
      </c>
      <c r="B238" s="12" t="str">
        <f>Tableau4[[#This Row],[Séquence]]&amp;C237:C238</f>
        <v>443</v>
      </c>
      <c r="C238" s="12">
        <v>43</v>
      </c>
      <c r="D238" s="12">
        <v>4</v>
      </c>
      <c r="E238" s="12" t="s">
        <v>184</v>
      </c>
      <c r="F238" s="12" t="s">
        <v>39</v>
      </c>
      <c r="G238" s="12" t="s">
        <v>189</v>
      </c>
      <c r="H238" s="12"/>
      <c r="I238" s="12" t="str">
        <f>Tableau4[[#This Row],[Angle évalué]]&amp;"°"&amp;Tableau4[[#This Row],[Oreille]]</f>
        <v>180°</v>
      </c>
    </row>
    <row r="239" spans="1:9" x14ac:dyDescent="0.25">
      <c r="A239" s="12">
        <v>4</v>
      </c>
      <c r="B239" s="12" t="str">
        <f>Tableau4[[#This Row],[Séquence]]&amp;C238:C239</f>
        <v>444</v>
      </c>
      <c r="C239" s="12">
        <v>44</v>
      </c>
      <c r="D239" s="12">
        <v>8</v>
      </c>
      <c r="E239" s="12" t="s">
        <v>188</v>
      </c>
      <c r="F239" s="12" t="s">
        <v>17</v>
      </c>
      <c r="G239" s="12" t="s">
        <v>190</v>
      </c>
      <c r="H239" s="12" t="s">
        <v>17</v>
      </c>
      <c r="I239" s="12" t="str">
        <f>Tableau4[[#This Row],[Angle évalué]]&amp;"°"&amp;Tableau4[[#This Row],[Oreille]]</f>
        <v>45arr°D</v>
      </c>
    </row>
    <row r="240" spans="1:9" x14ac:dyDescent="0.25">
      <c r="A240" s="12">
        <v>4</v>
      </c>
      <c r="B240" s="12" t="str">
        <f>Tableau4[[#This Row],[Séquence]]&amp;C239:C240</f>
        <v>445</v>
      </c>
      <c r="C240" s="12">
        <v>45</v>
      </c>
      <c r="D240" s="12">
        <v>5</v>
      </c>
      <c r="E240" s="12" t="s">
        <v>191</v>
      </c>
      <c r="F240" s="12" t="s">
        <v>39</v>
      </c>
      <c r="G240" s="12" t="s">
        <v>190</v>
      </c>
      <c r="H240" s="12" t="s">
        <v>17</v>
      </c>
      <c r="I240" s="12" t="str">
        <f>Tableau4[[#This Row],[Angle évalué]]&amp;"°"&amp;Tableau4[[#This Row],[Oreille]]</f>
        <v>45arr°D</v>
      </c>
    </row>
    <row r="241" spans="1:9" x14ac:dyDescent="0.25">
      <c r="A241" s="12">
        <v>4</v>
      </c>
      <c r="B241" s="12" t="str">
        <f>Tableau4[[#This Row],[Séquence]]&amp;C240:C241</f>
        <v>446</v>
      </c>
      <c r="C241" s="12">
        <v>46</v>
      </c>
      <c r="D241" s="12">
        <v>3</v>
      </c>
      <c r="E241" s="12" t="s">
        <v>187</v>
      </c>
      <c r="F241" s="12" t="s">
        <v>17</v>
      </c>
      <c r="G241" s="12" t="s">
        <v>185</v>
      </c>
      <c r="H241" s="12" t="s">
        <v>39</v>
      </c>
      <c r="I241" s="12" t="str">
        <f>Tableau4[[#This Row],[Angle évalué]]&amp;"°"&amp;Tableau4[[#This Row],[Oreille]]</f>
        <v>45°G</v>
      </c>
    </row>
    <row r="242" spans="1:9" x14ac:dyDescent="0.25">
      <c r="A242" s="12">
        <v>4</v>
      </c>
      <c r="B242" s="12" t="str">
        <f>Tableau4[[#This Row],[Séquence]]&amp;C241:C242</f>
        <v>447</v>
      </c>
      <c r="C242" s="12">
        <v>47</v>
      </c>
      <c r="D242" s="12">
        <v>2</v>
      </c>
      <c r="E242" s="12" t="s">
        <v>188</v>
      </c>
      <c r="F242" s="12" t="s">
        <v>39</v>
      </c>
      <c r="G242" s="12" t="s">
        <v>186</v>
      </c>
      <c r="H242" s="12" t="s">
        <v>39</v>
      </c>
      <c r="I242" s="12" t="str">
        <f>Tableau4[[#This Row],[Angle évalué]]&amp;"°"&amp;Tableau4[[#This Row],[Oreille]]</f>
        <v>90°G</v>
      </c>
    </row>
    <row r="243" spans="1:9" x14ac:dyDescent="0.25">
      <c r="A243" s="12">
        <v>4</v>
      </c>
      <c r="B243" s="12" t="str">
        <f>Tableau4[[#This Row],[Séquence]]&amp;C242:C243</f>
        <v>448</v>
      </c>
      <c r="C243" s="12">
        <v>48</v>
      </c>
      <c r="D243" s="12">
        <v>5</v>
      </c>
      <c r="E243" s="12" t="s">
        <v>187</v>
      </c>
      <c r="F243" s="12" t="s">
        <v>17</v>
      </c>
      <c r="G243" s="12" t="s">
        <v>190</v>
      </c>
      <c r="H243" s="12" t="s">
        <v>39</v>
      </c>
      <c r="I243" s="12" t="str">
        <f>Tableau4[[#This Row],[Angle évalué]]&amp;"°"&amp;Tableau4[[#This Row],[Oreille]]</f>
        <v>45arr°G</v>
      </c>
    </row>
    <row r="244" spans="1:9" x14ac:dyDescent="0.25">
      <c r="A244" s="12">
        <v>4</v>
      </c>
      <c r="B244" s="12" t="str">
        <f>Tableau4[[#This Row],[Séquence]]&amp;C243:C244</f>
        <v>449</v>
      </c>
      <c r="C244" s="12">
        <v>49</v>
      </c>
      <c r="D244" s="12">
        <v>3</v>
      </c>
      <c r="E244" s="12" t="s">
        <v>184</v>
      </c>
      <c r="F244" s="12" t="s">
        <v>39</v>
      </c>
      <c r="G244" s="12" t="s">
        <v>190</v>
      </c>
      <c r="H244" s="12" t="s">
        <v>39</v>
      </c>
      <c r="I244" s="12" t="str">
        <f>Tableau4[[#This Row],[Angle évalué]]&amp;"°"&amp;Tableau4[[#This Row],[Oreille]]</f>
        <v>45arr°G</v>
      </c>
    </row>
    <row r="245" spans="1:9" x14ac:dyDescent="0.25">
      <c r="A245" s="12">
        <v>4</v>
      </c>
      <c r="B245" s="12" t="str">
        <f>Tableau4[[#This Row],[Séquence]]&amp;C244:C245</f>
        <v>450</v>
      </c>
      <c r="C245" s="12">
        <v>50</v>
      </c>
      <c r="D245" s="12">
        <v>1</v>
      </c>
      <c r="E245" s="12" t="s">
        <v>188</v>
      </c>
      <c r="F245" s="12" t="s">
        <v>39</v>
      </c>
      <c r="G245" s="12" t="s">
        <v>185</v>
      </c>
      <c r="H245" s="12" t="s">
        <v>39</v>
      </c>
      <c r="I245" s="12" t="str">
        <f>Tableau4[[#This Row],[Angle évalué]]&amp;"°"&amp;Tableau4[[#This Row],[Oreille]]</f>
        <v>45°G</v>
      </c>
    </row>
    <row r="246" spans="1:9" x14ac:dyDescent="0.25">
      <c r="A246" s="12">
        <v>4</v>
      </c>
      <c r="B246" s="12" t="str">
        <f>Tableau4[[#This Row],[Séquence]]&amp;C245:C246</f>
        <v>451</v>
      </c>
      <c r="C246" s="12">
        <v>51</v>
      </c>
      <c r="D246" s="12">
        <v>6</v>
      </c>
      <c r="E246" s="12" t="s">
        <v>191</v>
      </c>
      <c r="F246" s="12" t="s">
        <v>17</v>
      </c>
      <c r="G246" s="12" t="s">
        <v>189</v>
      </c>
      <c r="H246" s="12"/>
      <c r="I246" s="12" t="str">
        <f>Tableau4[[#This Row],[Angle évalué]]&amp;"°"&amp;Tableau4[[#This Row],[Oreille]]</f>
        <v>180°</v>
      </c>
    </row>
    <row r="247" spans="1:9" x14ac:dyDescent="0.25">
      <c r="A247" s="12">
        <v>4</v>
      </c>
      <c r="B247" s="12" t="str">
        <f>Tableau4[[#This Row],[Séquence]]&amp;C246:C247</f>
        <v>452</v>
      </c>
      <c r="C247" s="12">
        <v>52</v>
      </c>
      <c r="D247" s="12">
        <v>3</v>
      </c>
      <c r="E247" s="12" t="s">
        <v>188</v>
      </c>
      <c r="F247" s="12" t="s">
        <v>39</v>
      </c>
      <c r="G247" s="12" t="s">
        <v>190</v>
      </c>
      <c r="H247" s="12" t="s">
        <v>39</v>
      </c>
      <c r="I247" s="12" t="str">
        <f>Tableau4[[#This Row],[Angle évalué]]&amp;"°"&amp;Tableau4[[#This Row],[Oreille]]</f>
        <v>45arr°G</v>
      </c>
    </row>
    <row r="248" spans="1:9" x14ac:dyDescent="0.25">
      <c r="A248" s="12">
        <v>4</v>
      </c>
      <c r="B248" s="12" t="str">
        <f>Tableau4[[#This Row],[Séquence]]&amp;C247:C248</f>
        <v>453</v>
      </c>
      <c r="C248" s="12">
        <v>53</v>
      </c>
      <c r="D248" s="12">
        <v>4</v>
      </c>
      <c r="E248" s="12" t="s">
        <v>187</v>
      </c>
      <c r="F248" s="12" t="s">
        <v>17</v>
      </c>
      <c r="G248" s="12" t="s">
        <v>186</v>
      </c>
      <c r="H248" s="12" t="s">
        <v>39</v>
      </c>
      <c r="I248" s="12" t="str">
        <f>Tableau4[[#This Row],[Angle évalué]]&amp;"°"&amp;Tableau4[[#This Row],[Oreille]]</f>
        <v>90°G</v>
      </c>
    </row>
    <row r="249" spans="1:9" x14ac:dyDescent="0.25">
      <c r="A249" s="12">
        <v>4</v>
      </c>
      <c r="B249" s="12" t="str">
        <f>Tableau4[[#This Row],[Séquence]]&amp;C248:C249</f>
        <v>454</v>
      </c>
      <c r="C249" s="12">
        <v>54</v>
      </c>
      <c r="D249" s="12">
        <v>8</v>
      </c>
      <c r="E249" s="12" t="s">
        <v>191</v>
      </c>
      <c r="F249" s="12" t="s">
        <v>39</v>
      </c>
      <c r="G249" s="12" t="s">
        <v>192</v>
      </c>
      <c r="H249" s="12"/>
      <c r="I249" s="12" t="str">
        <f>Tableau4[[#This Row],[Angle évalué]]&amp;"°"&amp;Tableau4[[#This Row],[Oreille]]</f>
        <v>0°</v>
      </c>
    </row>
    <row r="250" spans="1:9" x14ac:dyDescent="0.25">
      <c r="A250" s="12">
        <v>4</v>
      </c>
      <c r="B250" s="12" t="str">
        <f>Tableau4[[#This Row],[Séquence]]&amp;C249:C250</f>
        <v>455</v>
      </c>
      <c r="C250" s="12">
        <v>55</v>
      </c>
      <c r="D250" s="12">
        <v>2</v>
      </c>
      <c r="E250" s="12" t="s">
        <v>187</v>
      </c>
      <c r="F250" s="12" t="s">
        <v>17</v>
      </c>
      <c r="G250" s="12" t="s">
        <v>192</v>
      </c>
      <c r="H250" s="12"/>
      <c r="I250" s="12" t="str">
        <f>Tableau4[[#This Row],[Angle évalué]]&amp;"°"&amp;Tableau4[[#This Row],[Oreille]]</f>
        <v>0°</v>
      </c>
    </row>
    <row r="251" spans="1:9" x14ac:dyDescent="0.25">
      <c r="A251" s="12">
        <v>4</v>
      </c>
      <c r="B251" s="12" t="str">
        <f>Tableau4[[#This Row],[Séquence]]&amp;C250:C251</f>
        <v>456</v>
      </c>
      <c r="C251" s="12">
        <v>56</v>
      </c>
      <c r="D251" s="12">
        <v>1</v>
      </c>
      <c r="E251" s="12" t="s">
        <v>184</v>
      </c>
      <c r="F251" s="12" t="s">
        <v>39</v>
      </c>
      <c r="G251" s="12" t="s">
        <v>185</v>
      </c>
      <c r="H251" s="12" t="s">
        <v>39</v>
      </c>
      <c r="I251" s="12" t="str">
        <f>Tableau4[[#This Row],[Angle évalué]]&amp;"°"&amp;Tableau4[[#This Row],[Oreille]]</f>
        <v>45°G</v>
      </c>
    </row>
    <row r="252" spans="1:9" x14ac:dyDescent="0.25">
      <c r="A252" s="12">
        <v>4</v>
      </c>
      <c r="B252" s="12" t="str">
        <f>Tableau4[[#This Row],[Séquence]]&amp;C251:C252</f>
        <v>457</v>
      </c>
      <c r="C252" s="12">
        <v>57</v>
      </c>
      <c r="D252" s="12">
        <v>8</v>
      </c>
      <c r="E252" s="12" t="s">
        <v>188</v>
      </c>
      <c r="F252" s="12" t="s">
        <v>17</v>
      </c>
      <c r="G252" s="12" t="s">
        <v>186</v>
      </c>
      <c r="H252" s="12" t="s">
        <v>17</v>
      </c>
      <c r="I252" s="12" t="str">
        <f>Tableau4[[#This Row],[Angle évalué]]&amp;"°"&amp;Tableau4[[#This Row],[Oreille]]</f>
        <v>90°D</v>
      </c>
    </row>
    <row r="253" spans="1:9" x14ac:dyDescent="0.25">
      <c r="A253" s="12">
        <v>4</v>
      </c>
      <c r="B253" s="12" t="str">
        <f>Tableau4[[#This Row],[Séquence]]&amp;C252:C253</f>
        <v>458</v>
      </c>
      <c r="C253" s="12">
        <v>58</v>
      </c>
      <c r="D253" s="12">
        <v>5</v>
      </c>
      <c r="E253" s="12" t="s">
        <v>191</v>
      </c>
      <c r="F253" s="12" t="s">
        <v>17</v>
      </c>
      <c r="G253" s="12" t="s">
        <v>190</v>
      </c>
      <c r="H253" s="12" t="s">
        <v>39</v>
      </c>
      <c r="I253" s="12" t="str">
        <f>Tableau4[[#This Row],[Angle évalué]]&amp;"°"&amp;Tableau4[[#This Row],[Oreille]]</f>
        <v>45arr°G</v>
      </c>
    </row>
    <row r="254" spans="1:9" x14ac:dyDescent="0.25">
      <c r="A254" s="12">
        <v>4</v>
      </c>
      <c r="B254" s="12" t="str">
        <f>Tableau4[[#This Row],[Séquence]]&amp;C253:C254</f>
        <v>459</v>
      </c>
      <c r="C254" s="12">
        <v>59</v>
      </c>
      <c r="D254" s="12">
        <v>6</v>
      </c>
      <c r="E254" s="12" t="s">
        <v>191</v>
      </c>
      <c r="F254" s="12" t="s">
        <v>39</v>
      </c>
      <c r="G254" s="12" t="s">
        <v>186</v>
      </c>
      <c r="H254" s="12" t="s">
        <v>17</v>
      </c>
      <c r="I254" s="12" t="str">
        <f>Tableau4[[#This Row],[Angle évalué]]&amp;"°"&amp;Tableau4[[#This Row],[Oreille]]</f>
        <v>90°D</v>
      </c>
    </row>
    <row r="255" spans="1:9" x14ac:dyDescent="0.25">
      <c r="A255" s="12">
        <v>4</v>
      </c>
      <c r="B255" s="12" t="str">
        <f>Tableau4[[#This Row],[Séquence]]&amp;C254:C255</f>
        <v>460</v>
      </c>
      <c r="C255" s="12">
        <v>60</v>
      </c>
      <c r="D255" s="12">
        <v>4</v>
      </c>
      <c r="E255" s="12" t="s">
        <v>187</v>
      </c>
      <c r="F255" s="12" t="s">
        <v>17</v>
      </c>
      <c r="G255" s="12" t="s">
        <v>186</v>
      </c>
      <c r="H255" s="12" t="s">
        <v>39</v>
      </c>
      <c r="I255" s="12" t="str">
        <f>Tableau4[[#This Row],[Angle évalué]]&amp;"°"&amp;Tableau4[[#This Row],[Oreille]]</f>
        <v>90°G</v>
      </c>
    </row>
    <row r="256" spans="1:9" x14ac:dyDescent="0.25">
      <c r="A256" s="12">
        <v>4</v>
      </c>
      <c r="B256" s="12" t="str">
        <f>Tableau4[[#This Row],[Séquence]]&amp;C255:C256</f>
        <v>461</v>
      </c>
      <c r="C256" s="12">
        <v>61</v>
      </c>
      <c r="D256" s="12">
        <v>2</v>
      </c>
      <c r="E256" s="12" t="s">
        <v>184</v>
      </c>
      <c r="F256" s="12" t="s">
        <v>17</v>
      </c>
      <c r="G256" s="12" t="s">
        <v>192</v>
      </c>
      <c r="H256" s="12"/>
      <c r="I256" s="12" t="str">
        <f>Tableau4[[#This Row],[Angle évalué]]&amp;"°"&amp;Tableau4[[#This Row],[Oreille]]</f>
        <v>0°</v>
      </c>
    </row>
    <row r="257" spans="1:9" x14ac:dyDescent="0.25">
      <c r="A257" s="12">
        <v>4</v>
      </c>
      <c r="B257" s="12" t="str">
        <f>Tableau4[[#This Row],[Séquence]]&amp;C256:C257</f>
        <v>462</v>
      </c>
      <c r="C257" s="12">
        <v>62</v>
      </c>
      <c r="D257" s="12">
        <v>3</v>
      </c>
      <c r="E257" s="12" t="s">
        <v>191</v>
      </c>
      <c r="F257" s="12" t="s">
        <v>17</v>
      </c>
      <c r="G257" s="12" t="s">
        <v>185</v>
      </c>
      <c r="H257" s="12" t="s">
        <v>39</v>
      </c>
      <c r="I257" s="12" t="str">
        <f>Tableau4[[#This Row],[Angle évalué]]&amp;"°"&amp;Tableau4[[#This Row],[Oreille]]</f>
        <v>45°G</v>
      </c>
    </row>
    <row r="258" spans="1:9" x14ac:dyDescent="0.25">
      <c r="A258" s="12">
        <v>4</v>
      </c>
      <c r="B258" s="12" t="str">
        <f>Tableau4[[#This Row],[Séquence]]&amp;C257:C258</f>
        <v>463</v>
      </c>
      <c r="C258" s="12">
        <v>63</v>
      </c>
      <c r="D258" s="12">
        <v>4</v>
      </c>
      <c r="E258" s="12" t="s">
        <v>187</v>
      </c>
      <c r="F258" s="12" t="s">
        <v>39</v>
      </c>
      <c r="G258" s="12" t="s">
        <v>189</v>
      </c>
      <c r="H258" s="12"/>
      <c r="I258" s="12" t="str">
        <f>Tableau4[[#This Row],[Angle évalué]]&amp;"°"&amp;Tableau4[[#This Row],[Oreille]]</f>
        <v>180°</v>
      </c>
    </row>
    <row r="259" spans="1:9" x14ac:dyDescent="0.25">
      <c r="A259" s="12">
        <v>4</v>
      </c>
      <c r="B259" s="12" t="str">
        <f>Tableau4[[#This Row],[Séquence]]&amp;C258:C259</f>
        <v>464</v>
      </c>
      <c r="C259" s="12">
        <v>64</v>
      </c>
      <c r="D259" s="12">
        <v>8</v>
      </c>
      <c r="E259" s="12" t="s">
        <v>184</v>
      </c>
      <c r="F259" s="12" t="s">
        <v>17</v>
      </c>
      <c r="G259" s="12" t="s">
        <v>186</v>
      </c>
      <c r="H259" s="12" t="s">
        <v>17</v>
      </c>
      <c r="I259" s="12" t="str">
        <f>Tableau4[[#This Row],[Angle évalué]]&amp;"°"&amp;Tableau4[[#This Row],[Oreille]]</f>
        <v>90°D</v>
      </c>
    </row>
    <row r="260" spans="1:9" x14ac:dyDescent="0.25">
      <c r="A260" s="12">
        <v>5</v>
      </c>
      <c r="B260" s="12" t="str">
        <f>Tableau4[[#This Row],[Séquence]]&amp;C259:C260</f>
        <v>51</v>
      </c>
      <c r="C260" s="12">
        <v>1</v>
      </c>
      <c r="D260" s="12">
        <v>7</v>
      </c>
      <c r="E260" s="12" t="s">
        <v>187</v>
      </c>
      <c r="F260" s="12" t="s">
        <v>39</v>
      </c>
      <c r="G260" s="12" t="s">
        <v>185</v>
      </c>
      <c r="H260" s="12" t="s">
        <v>17</v>
      </c>
      <c r="I260" s="12" t="str">
        <f>Tableau4[[#This Row],[Angle évalué]]&amp;"°"&amp;Tableau4[[#This Row],[Oreille]]</f>
        <v>45°D</v>
      </c>
    </row>
    <row r="261" spans="1:9" x14ac:dyDescent="0.25">
      <c r="A261" s="12">
        <v>5</v>
      </c>
      <c r="B261" s="12" t="str">
        <f>Tableau4[[#This Row],[Séquence]]&amp;C260:C261</f>
        <v>52</v>
      </c>
      <c r="C261" s="12">
        <v>2</v>
      </c>
      <c r="D261" s="12">
        <v>2</v>
      </c>
      <c r="E261" s="12" t="s">
        <v>184</v>
      </c>
      <c r="F261" s="12" t="s">
        <v>39</v>
      </c>
      <c r="G261" s="12" t="s">
        <v>186</v>
      </c>
      <c r="H261" s="12" t="s">
        <v>39</v>
      </c>
      <c r="I261" s="12" t="str">
        <f>Tableau4[[#This Row],[Angle évalué]]&amp;"°"&amp;Tableau4[[#This Row],[Oreille]]</f>
        <v>90°G</v>
      </c>
    </row>
    <row r="262" spans="1:9" x14ac:dyDescent="0.25">
      <c r="A262" s="12">
        <v>5</v>
      </c>
      <c r="B262" s="12" t="str">
        <f>Tableau4[[#This Row],[Séquence]]&amp;C261:C262</f>
        <v>53</v>
      </c>
      <c r="C262" s="12">
        <v>3</v>
      </c>
      <c r="D262" s="12">
        <v>8</v>
      </c>
      <c r="E262" s="12" t="s">
        <v>184</v>
      </c>
      <c r="F262" s="12" t="s">
        <v>17</v>
      </c>
      <c r="G262" s="12" t="s">
        <v>186</v>
      </c>
      <c r="H262" s="12" t="s">
        <v>17</v>
      </c>
      <c r="I262" s="12" t="str">
        <f>Tableau4[[#This Row],[Angle évalué]]&amp;"°"&amp;Tableau4[[#This Row],[Oreille]]</f>
        <v>90°D</v>
      </c>
    </row>
    <row r="263" spans="1:9" x14ac:dyDescent="0.25">
      <c r="A263" s="12">
        <v>5</v>
      </c>
      <c r="B263" s="12" t="str">
        <f>Tableau4[[#This Row],[Séquence]]&amp;C262:C263</f>
        <v>54</v>
      </c>
      <c r="C263" s="12">
        <v>4</v>
      </c>
      <c r="D263" s="12">
        <v>5</v>
      </c>
      <c r="E263" s="12" t="s">
        <v>191</v>
      </c>
      <c r="F263" s="12" t="s">
        <v>39</v>
      </c>
      <c r="G263" s="12" t="s">
        <v>190</v>
      </c>
      <c r="H263" s="12" t="s">
        <v>17</v>
      </c>
      <c r="I263" s="12" t="str">
        <f>Tableau4[[#This Row],[Angle évalué]]&amp;"°"&amp;Tableau4[[#This Row],[Oreille]]</f>
        <v>45arr°D</v>
      </c>
    </row>
    <row r="264" spans="1:9" x14ac:dyDescent="0.25">
      <c r="A264" s="12">
        <v>5</v>
      </c>
      <c r="B264" s="12" t="str">
        <f>Tableau4[[#This Row],[Séquence]]&amp;C263:C264</f>
        <v>55</v>
      </c>
      <c r="C264" s="12">
        <v>5</v>
      </c>
      <c r="D264" s="12">
        <v>8</v>
      </c>
      <c r="E264" s="12" t="s">
        <v>188</v>
      </c>
      <c r="F264" s="12" t="s">
        <v>17</v>
      </c>
      <c r="G264" s="12" t="s">
        <v>186</v>
      </c>
      <c r="H264" s="12" t="s">
        <v>17</v>
      </c>
      <c r="I264" s="12" t="str">
        <f>Tableau4[[#This Row],[Angle évalué]]&amp;"°"&amp;Tableau4[[#This Row],[Oreille]]</f>
        <v>90°D</v>
      </c>
    </row>
    <row r="265" spans="1:9" x14ac:dyDescent="0.25">
      <c r="A265" s="12">
        <v>5</v>
      </c>
      <c r="B265" s="12" t="str">
        <f>Tableau4[[#This Row],[Séquence]]&amp;C264:C265</f>
        <v>56</v>
      </c>
      <c r="C265" s="12">
        <v>6</v>
      </c>
      <c r="D265" s="12">
        <v>6</v>
      </c>
      <c r="E265" s="12" t="s">
        <v>187</v>
      </c>
      <c r="F265" s="12" t="s">
        <v>39</v>
      </c>
      <c r="G265" s="12" t="s">
        <v>186</v>
      </c>
      <c r="H265" s="12" t="s">
        <v>17</v>
      </c>
      <c r="I265" s="12" t="str">
        <f>Tableau4[[#This Row],[Angle évalué]]&amp;"°"&amp;Tableau4[[#This Row],[Oreille]]</f>
        <v>90°D</v>
      </c>
    </row>
    <row r="266" spans="1:9" x14ac:dyDescent="0.25">
      <c r="A266" s="12">
        <v>5</v>
      </c>
      <c r="B266" s="12" t="str">
        <f>Tableau4[[#This Row],[Séquence]]&amp;C265:C266</f>
        <v>57</v>
      </c>
      <c r="C266" s="12">
        <v>7</v>
      </c>
      <c r="D266" s="12">
        <v>1</v>
      </c>
      <c r="E266" s="12" t="s">
        <v>184</v>
      </c>
      <c r="F266" s="12" t="s">
        <v>17</v>
      </c>
      <c r="G266" s="12" t="s">
        <v>185</v>
      </c>
      <c r="H266" s="12" t="s">
        <v>17</v>
      </c>
      <c r="I266" s="12" t="str">
        <f>Tableau4[[#This Row],[Angle évalué]]&amp;"°"&amp;Tableau4[[#This Row],[Oreille]]</f>
        <v>45°D</v>
      </c>
    </row>
    <row r="267" spans="1:9" x14ac:dyDescent="0.25">
      <c r="A267" s="12">
        <v>5</v>
      </c>
      <c r="B267" s="12" t="str">
        <f>Tableau4[[#This Row],[Séquence]]&amp;C266:C267</f>
        <v>58</v>
      </c>
      <c r="C267" s="12">
        <v>8</v>
      </c>
      <c r="D267" s="12">
        <v>1</v>
      </c>
      <c r="E267" s="12" t="s">
        <v>188</v>
      </c>
      <c r="F267" s="12" t="s">
        <v>39</v>
      </c>
      <c r="G267" s="12" t="s">
        <v>185</v>
      </c>
      <c r="H267" s="12" t="s">
        <v>39</v>
      </c>
      <c r="I267" s="12" t="str">
        <f>Tableau4[[#This Row],[Angle évalué]]&amp;"°"&amp;Tableau4[[#This Row],[Oreille]]</f>
        <v>45°G</v>
      </c>
    </row>
    <row r="268" spans="1:9" x14ac:dyDescent="0.25">
      <c r="A268" s="12">
        <v>5</v>
      </c>
      <c r="B268" s="12" t="str">
        <f>Tableau4[[#This Row],[Séquence]]&amp;C267:C268</f>
        <v>59</v>
      </c>
      <c r="C268" s="12">
        <v>9</v>
      </c>
      <c r="D268" s="12">
        <v>7</v>
      </c>
      <c r="E268" s="12" t="s">
        <v>184</v>
      </c>
      <c r="F268" s="12" t="s">
        <v>17</v>
      </c>
      <c r="G268" s="12" t="s">
        <v>190</v>
      </c>
      <c r="H268" s="12" t="s">
        <v>17</v>
      </c>
      <c r="I268" s="12" t="str">
        <f>Tableau4[[#This Row],[Angle évalué]]&amp;"°"&amp;Tableau4[[#This Row],[Oreille]]</f>
        <v>45arr°D</v>
      </c>
    </row>
    <row r="269" spans="1:9" x14ac:dyDescent="0.25">
      <c r="A269" s="12">
        <v>5</v>
      </c>
      <c r="B269" s="12" t="str">
        <f>Tableau4[[#This Row],[Séquence]]&amp;C268:C269</f>
        <v>510</v>
      </c>
      <c r="C269" s="12">
        <v>10</v>
      </c>
      <c r="D269" s="12">
        <v>3</v>
      </c>
      <c r="E269" s="12" t="s">
        <v>191</v>
      </c>
      <c r="F269" s="12" t="s">
        <v>17</v>
      </c>
      <c r="G269" s="12" t="s">
        <v>185</v>
      </c>
      <c r="H269" s="12" t="s">
        <v>39</v>
      </c>
      <c r="I269" s="12" t="str">
        <f>Tableau4[[#This Row],[Angle évalué]]&amp;"°"&amp;Tableau4[[#This Row],[Oreille]]</f>
        <v>45°G</v>
      </c>
    </row>
    <row r="270" spans="1:9" x14ac:dyDescent="0.25">
      <c r="A270" s="12">
        <v>5</v>
      </c>
      <c r="B270" s="12" t="str">
        <f>Tableau4[[#This Row],[Séquence]]&amp;C269:C270</f>
        <v>511</v>
      </c>
      <c r="C270" s="12">
        <v>11</v>
      </c>
      <c r="D270" s="12">
        <v>6</v>
      </c>
      <c r="E270" s="12" t="s">
        <v>191</v>
      </c>
      <c r="F270" s="12" t="s">
        <v>39</v>
      </c>
      <c r="G270" s="12" t="s">
        <v>186</v>
      </c>
      <c r="H270" s="12" t="s">
        <v>17</v>
      </c>
      <c r="I270" s="12" t="str">
        <f>Tableau4[[#This Row],[Angle évalué]]&amp;"°"&amp;Tableau4[[#This Row],[Oreille]]</f>
        <v>90°D</v>
      </c>
    </row>
    <row r="271" spans="1:9" x14ac:dyDescent="0.25">
      <c r="A271" s="12">
        <v>5</v>
      </c>
      <c r="B271" s="12" t="str">
        <f>Tableau4[[#This Row],[Séquence]]&amp;C270:C271</f>
        <v>512</v>
      </c>
      <c r="C271" s="12">
        <v>12</v>
      </c>
      <c r="D271" s="12">
        <v>5</v>
      </c>
      <c r="E271" s="12" t="s">
        <v>187</v>
      </c>
      <c r="F271" s="12" t="s">
        <v>17</v>
      </c>
      <c r="G271" s="12" t="s">
        <v>190</v>
      </c>
      <c r="H271" s="12" t="s">
        <v>39</v>
      </c>
      <c r="I271" s="12" t="str">
        <f>Tableau4[[#This Row],[Angle évalué]]&amp;"°"&amp;Tableau4[[#This Row],[Oreille]]</f>
        <v>45arr°G</v>
      </c>
    </row>
    <row r="272" spans="1:9" x14ac:dyDescent="0.25">
      <c r="A272" s="12">
        <v>5</v>
      </c>
      <c r="B272" s="12" t="str">
        <f>Tableau4[[#This Row],[Séquence]]&amp;C271:C272</f>
        <v>513</v>
      </c>
      <c r="C272" s="12">
        <v>13</v>
      </c>
      <c r="D272" s="12">
        <v>3</v>
      </c>
      <c r="E272" s="12" t="s">
        <v>188</v>
      </c>
      <c r="F272" s="12" t="s">
        <v>39</v>
      </c>
      <c r="G272" s="12" t="s">
        <v>190</v>
      </c>
      <c r="H272" s="12" t="s">
        <v>39</v>
      </c>
      <c r="I272" s="12" t="str">
        <f>Tableau4[[#This Row],[Angle évalué]]&amp;"°"&amp;Tableau4[[#This Row],[Oreille]]</f>
        <v>45arr°G</v>
      </c>
    </row>
    <row r="273" spans="1:9" x14ac:dyDescent="0.25">
      <c r="A273" s="12">
        <v>5</v>
      </c>
      <c r="B273" s="12" t="str">
        <f>Tableau4[[#This Row],[Séquence]]&amp;C272:C273</f>
        <v>514</v>
      </c>
      <c r="C273" s="12">
        <v>14</v>
      </c>
      <c r="D273" s="12">
        <v>4</v>
      </c>
      <c r="E273" s="12" t="s">
        <v>191</v>
      </c>
      <c r="F273" s="12" t="s">
        <v>17</v>
      </c>
      <c r="G273" s="12" t="s">
        <v>186</v>
      </c>
      <c r="H273" s="12" t="s">
        <v>39</v>
      </c>
      <c r="I273" s="12" t="str">
        <f>Tableau4[[#This Row],[Angle évalué]]&amp;"°"&amp;Tableau4[[#This Row],[Oreille]]</f>
        <v>90°G</v>
      </c>
    </row>
    <row r="274" spans="1:9" x14ac:dyDescent="0.25">
      <c r="A274" s="12">
        <v>5</v>
      </c>
      <c r="B274" s="12" t="str">
        <f>Tableau4[[#This Row],[Séquence]]&amp;C273:C274</f>
        <v>515</v>
      </c>
      <c r="C274" s="12">
        <v>15</v>
      </c>
      <c r="D274" s="12">
        <v>2</v>
      </c>
      <c r="E274" s="12" t="s">
        <v>188</v>
      </c>
      <c r="F274" s="12" t="s">
        <v>39</v>
      </c>
      <c r="G274" s="12" t="s">
        <v>186</v>
      </c>
      <c r="H274" s="12" t="s">
        <v>39</v>
      </c>
      <c r="I274" s="12" t="str">
        <f>Tableau4[[#This Row],[Angle évalué]]&amp;"°"&amp;Tableau4[[#This Row],[Oreille]]</f>
        <v>90°G</v>
      </c>
    </row>
    <row r="275" spans="1:9" x14ac:dyDescent="0.25">
      <c r="A275" s="12">
        <v>5</v>
      </c>
      <c r="B275" s="12" t="str">
        <f>Tableau4[[#This Row],[Séquence]]&amp;C274:C275</f>
        <v>516</v>
      </c>
      <c r="C275" s="12">
        <v>16</v>
      </c>
      <c r="D275" s="12">
        <v>3</v>
      </c>
      <c r="E275" s="12" t="s">
        <v>184</v>
      </c>
      <c r="F275" s="12" t="s">
        <v>39</v>
      </c>
      <c r="G275" s="12" t="s">
        <v>190</v>
      </c>
      <c r="H275" s="12" t="s">
        <v>39</v>
      </c>
      <c r="I275" s="12" t="str">
        <f>Tableau4[[#This Row],[Angle évalué]]&amp;"°"&amp;Tableau4[[#This Row],[Oreille]]</f>
        <v>45arr°G</v>
      </c>
    </row>
    <row r="276" spans="1:9" x14ac:dyDescent="0.25">
      <c r="A276" s="12">
        <v>5</v>
      </c>
      <c r="B276" s="12" t="str">
        <f>Tableau4[[#This Row],[Séquence]]&amp;C275:C276</f>
        <v>517</v>
      </c>
      <c r="C276" s="12">
        <v>17</v>
      </c>
      <c r="D276" s="12">
        <v>5</v>
      </c>
      <c r="E276" s="12" t="s">
        <v>191</v>
      </c>
      <c r="F276" s="12" t="s">
        <v>17</v>
      </c>
      <c r="G276" s="12" t="s">
        <v>190</v>
      </c>
      <c r="H276" s="12" t="s">
        <v>39</v>
      </c>
      <c r="I276" s="12" t="str">
        <f>Tableau4[[#This Row],[Angle évalué]]&amp;"°"&amp;Tableau4[[#This Row],[Oreille]]</f>
        <v>45arr°G</v>
      </c>
    </row>
    <row r="277" spans="1:9" x14ac:dyDescent="0.25">
      <c r="A277" s="12">
        <v>5</v>
      </c>
      <c r="B277" s="12" t="str">
        <f>Tableau4[[#This Row],[Séquence]]&amp;C276:C277</f>
        <v>518</v>
      </c>
      <c r="C277" s="12">
        <v>18</v>
      </c>
      <c r="D277" s="12">
        <v>8</v>
      </c>
      <c r="E277" s="12" t="s">
        <v>188</v>
      </c>
      <c r="F277" s="12" t="s">
        <v>39</v>
      </c>
      <c r="G277" s="12" t="s">
        <v>192</v>
      </c>
      <c r="H277" s="12"/>
      <c r="I277" s="12" t="str">
        <f>Tableau4[[#This Row],[Angle évalué]]&amp;"°"&amp;Tableau4[[#This Row],[Oreille]]</f>
        <v>0°</v>
      </c>
    </row>
    <row r="278" spans="1:9" x14ac:dyDescent="0.25">
      <c r="A278" s="12">
        <v>5</v>
      </c>
      <c r="B278" s="12" t="str">
        <f>Tableau4[[#This Row],[Séquence]]&amp;C277:C278</f>
        <v>519</v>
      </c>
      <c r="C278" s="12">
        <v>19</v>
      </c>
      <c r="D278" s="12">
        <v>4</v>
      </c>
      <c r="E278" s="12" t="s">
        <v>187</v>
      </c>
      <c r="F278" s="12" t="s">
        <v>17</v>
      </c>
      <c r="G278" s="12" t="s">
        <v>186</v>
      </c>
      <c r="H278" s="12" t="s">
        <v>39</v>
      </c>
      <c r="I278" s="12" t="str">
        <f>Tableau4[[#This Row],[Angle évalué]]&amp;"°"&amp;Tableau4[[#This Row],[Oreille]]</f>
        <v>90°G</v>
      </c>
    </row>
    <row r="279" spans="1:9" x14ac:dyDescent="0.25">
      <c r="A279" s="12">
        <v>5</v>
      </c>
      <c r="B279" s="12" t="str">
        <f>Tableau4[[#This Row],[Séquence]]&amp;C278:C279</f>
        <v>520</v>
      </c>
      <c r="C279" s="12">
        <v>20</v>
      </c>
      <c r="D279" s="12">
        <v>7</v>
      </c>
      <c r="E279" s="12" t="s">
        <v>188</v>
      </c>
      <c r="F279" s="12" t="s">
        <v>17</v>
      </c>
      <c r="G279" s="12" t="s">
        <v>190</v>
      </c>
      <c r="H279" s="12" t="s">
        <v>17</v>
      </c>
      <c r="I279" s="12" t="str">
        <f>Tableau4[[#This Row],[Angle évalué]]&amp;"°"&amp;Tableau4[[#This Row],[Oreille]]</f>
        <v>45arr°D</v>
      </c>
    </row>
    <row r="280" spans="1:9" x14ac:dyDescent="0.25">
      <c r="A280" s="12">
        <v>5</v>
      </c>
      <c r="B280" s="12" t="str">
        <f>Tableau4[[#This Row],[Séquence]]&amp;C279:C280</f>
        <v>521</v>
      </c>
      <c r="C280" s="12">
        <v>21</v>
      </c>
      <c r="D280" s="12">
        <v>1</v>
      </c>
      <c r="E280" s="12" t="s">
        <v>184</v>
      </c>
      <c r="F280" s="12" t="s">
        <v>39</v>
      </c>
      <c r="G280" s="12" t="s">
        <v>185</v>
      </c>
      <c r="H280" s="12" t="s">
        <v>39</v>
      </c>
      <c r="I280" s="12" t="str">
        <f>Tableau4[[#This Row],[Angle évalué]]&amp;"°"&amp;Tableau4[[#This Row],[Oreille]]</f>
        <v>45°G</v>
      </c>
    </row>
    <row r="281" spans="1:9" x14ac:dyDescent="0.25">
      <c r="A281" s="12">
        <v>5</v>
      </c>
      <c r="B281" s="12" t="str">
        <f>Tableau4[[#This Row],[Séquence]]&amp;C280:C281</f>
        <v>522</v>
      </c>
      <c r="C281" s="12">
        <v>22</v>
      </c>
      <c r="D281" s="12">
        <v>2</v>
      </c>
      <c r="E281" s="12" t="s">
        <v>187</v>
      </c>
      <c r="F281" s="12" t="s">
        <v>17</v>
      </c>
      <c r="G281" s="12" t="s">
        <v>192</v>
      </c>
      <c r="H281" s="12"/>
      <c r="I281" s="12" t="str">
        <f>Tableau4[[#This Row],[Angle évalué]]&amp;"°"&amp;Tableau4[[#This Row],[Oreille]]</f>
        <v>0°</v>
      </c>
    </row>
    <row r="282" spans="1:9" x14ac:dyDescent="0.25">
      <c r="A282" s="12">
        <v>5</v>
      </c>
      <c r="B282" s="12" t="str">
        <f>Tableau4[[#This Row],[Séquence]]&amp;C281:C282</f>
        <v>523</v>
      </c>
      <c r="C282" s="12">
        <v>23</v>
      </c>
      <c r="D282" s="12">
        <v>7</v>
      </c>
      <c r="E282" s="12" t="s">
        <v>191</v>
      </c>
      <c r="F282" s="12" t="s">
        <v>39</v>
      </c>
      <c r="G282" s="12" t="s">
        <v>185</v>
      </c>
      <c r="H282" s="12" t="s">
        <v>17</v>
      </c>
      <c r="I282" s="12" t="str">
        <f>Tableau4[[#This Row],[Angle évalué]]&amp;"°"&amp;Tableau4[[#This Row],[Oreille]]</f>
        <v>45°D</v>
      </c>
    </row>
    <row r="283" spans="1:9" x14ac:dyDescent="0.25">
      <c r="A283" s="12">
        <v>5</v>
      </c>
      <c r="B283" s="12" t="str">
        <f>Tableau4[[#This Row],[Séquence]]&amp;C282:C283</f>
        <v>524</v>
      </c>
      <c r="C283" s="12">
        <v>24</v>
      </c>
      <c r="D283" s="12">
        <v>2</v>
      </c>
      <c r="E283" s="12" t="s">
        <v>184</v>
      </c>
      <c r="F283" s="12" t="s">
        <v>17</v>
      </c>
      <c r="G283" s="12" t="s">
        <v>192</v>
      </c>
      <c r="H283" s="12"/>
      <c r="I283" s="12" t="str">
        <f>Tableau4[[#This Row],[Angle évalué]]&amp;"°"&amp;Tableau4[[#This Row],[Oreille]]</f>
        <v>0°</v>
      </c>
    </row>
    <row r="284" spans="1:9" x14ac:dyDescent="0.25">
      <c r="A284" s="12">
        <v>5</v>
      </c>
      <c r="B284" s="12" t="str">
        <f>Tableau4[[#This Row],[Séquence]]&amp;C283:C284</f>
        <v>525</v>
      </c>
      <c r="C284" s="12">
        <v>25</v>
      </c>
      <c r="D284" s="12">
        <v>4</v>
      </c>
      <c r="E284" s="12" t="s">
        <v>187</v>
      </c>
      <c r="F284" s="12" t="s">
        <v>39</v>
      </c>
      <c r="G284" s="12" t="s">
        <v>189</v>
      </c>
      <c r="H284" s="12"/>
      <c r="I284" s="12" t="str">
        <f>Tableau4[[#This Row],[Angle évalué]]&amp;"°"&amp;Tableau4[[#This Row],[Oreille]]</f>
        <v>180°</v>
      </c>
    </row>
    <row r="285" spans="1:9" x14ac:dyDescent="0.25">
      <c r="A285" s="12">
        <v>5</v>
      </c>
      <c r="B285" s="12" t="str">
        <f>Tableau4[[#This Row],[Séquence]]&amp;C284:C285</f>
        <v>526</v>
      </c>
      <c r="C285" s="12">
        <v>26</v>
      </c>
      <c r="D285" s="12">
        <v>6</v>
      </c>
      <c r="E285" s="12" t="s">
        <v>188</v>
      </c>
      <c r="F285" s="12" t="s">
        <v>17</v>
      </c>
      <c r="G285" s="12" t="s">
        <v>189</v>
      </c>
      <c r="H285" s="12"/>
      <c r="I285" s="12" t="str">
        <f>Tableau4[[#This Row],[Angle évalué]]&amp;"°"&amp;Tableau4[[#This Row],[Oreille]]</f>
        <v>180°</v>
      </c>
    </row>
    <row r="286" spans="1:9" x14ac:dyDescent="0.25">
      <c r="A286" s="12">
        <v>5</v>
      </c>
      <c r="B286" s="12" t="str">
        <f>Tableau4[[#This Row],[Séquence]]&amp;C285:C286</f>
        <v>527</v>
      </c>
      <c r="C286" s="12">
        <v>27</v>
      </c>
      <c r="D286" s="12">
        <v>3</v>
      </c>
      <c r="E286" s="12" t="s">
        <v>187</v>
      </c>
      <c r="F286" s="12" t="s">
        <v>17</v>
      </c>
      <c r="G286" s="12" t="s">
        <v>185</v>
      </c>
      <c r="H286" s="12" t="s">
        <v>39</v>
      </c>
      <c r="I286" s="12" t="str">
        <f>Tableau4[[#This Row],[Angle évalué]]&amp;"°"&amp;Tableau4[[#This Row],[Oreille]]</f>
        <v>45°G</v>
      </c>
    </row>
    <row r="287" spans="1:9" x14ac:dyDescent="0.25">
      <c r="A287" s="12">
        <v>5</v>
      </c>
      <c r="B287" s="12" t="str">
        <f>Tableau4[[#This Row],[Séquence]]&amp;C286:C287</f>
        <v>528</v>
      </c>
      <c r="C287" s="12">
        <v>28</v>
      </c>
      <c r="D287" s="12">
        <v>6</v>
      </c>
      <c r="E287" s="12" t="s">
        <v>191</v>
      </c>
      <c r="F287" s="12" t="s">
        <v>17</v>
      </c>
      <c r="G287" s="12" t="s">
        <v>189</v>
      </c>
      <c r="H287" s="12"/>
      <c r="I287" s="12" t="str">
        <f>Tableau4[[#This Row],[Angle évalué]]&amp;"°"&amp;Tableau4[[#This Row],[Oreille]]</f>
        <v>180°</v>
      </c>
    </row>
    <row r="288" spans="1:9" x14ac:dyDescent="0.25">
      <c r="A288" s="12">
        <v>5</v>
      </c>
      <c r="B288" s="12" t="str">
        <f>Tableau4[[#This Row],[Séquence]]&amp;C287:C288</f>
        <v>529</v>
      </c>
      <c r="C288" s="12">
        <v>29</v>
      </c>
      <c r="D288" s="12">
        <v>4</v>
      </c>
      <c r="E288" s="12" t="s">
        <v>184</v>
      </c>
      <c r="F288" s="12" t="s">
        <v>39</v>
      </c>
      <c r="G288" s="12" t="s">
        <v>189</v>
      </c>
      <c r="H288" s="12"/>
      <c r="I288" s="12" t="str">
        <f>Tableau4[[#This Row],[Angle évalué]]&amp;"°"&amp;Tableau4[[#This Row],[Oreille]]</f>
        <v>180°</v>
      </c>
    </row>
    <row r="289" spans="1:9" x14ac:dyDescent="0.25">
      <c r="A289" s="12">
        <v>5</v>
      </c>
      <c r="B289" s="12" t="str">
        <f>Tableau4[[#This Row],[Séquence]]&amp;C288:C289</f>
        <v>530</v>
      </c>
      <c r="C289" s="12">
        <v>30</v>
      </c>
      <c r="D289" s="12">
        <v>8</v>
      </c>
      <c r="E289" s="12" t="s">
        <v>191</v>
      </c>
      <c r="F289" s="12" t="s">
        <v>39</v>
      </c>
      <c r="G289" s="12" t="s">
        <v>192</v>
      </c>
      <c r="H289" s="12"/>
      <c r="I289" s="12" t="str">
        <f>Tableau4[[#This Row],[Angle évalué]]&amp;"°"&amp;Tableau4[[#This Row],[Oreille]]</f>
        <v>0°</v>
      </c>
    </row>
    <row r="290" spans="1:9" x14ac:dyDescent="0.25">
      <c r="A290" s="12">
        <v>5</v>
      </c>
      <c r="B290" s="12" t="str">
        <f>Tableau4[[#This Row],[Séquence]]&amp;C289:C290</f>
        <v>531</v>
      </c>
      <c r="C290" s="12">
        <v>31</v>
      </c>
      <c r="D290" s="12">
        <v>5</v>
      </c>
      <c r="E290" s="12" t="s">
        <v>187</v>
      </c>
      <c r="F290" s="12" t="s">
        <v>39</v>
      </c>
      <c r="G290" s="12" t="s">
        <v>190</v>
      </c>
      <c r="H290" s="12" t="s">
        <v>17</v>
      </c>
      <c r="I290" s="12" t="str">
        <f>Tableau4[[#This Row],[Angle évalué]]&amp;"°"&amp;Tableau4[[#This Row],[Oreille]]</f>
        <v>45arr°D</v>
      </c>
    </row>
    <row r="291" spans="1:9" x14ac:dyDescent="0.25">
      <c r="A291" s="12">
        <v>5</v>
      </c>
      <c r="B291" s="12" t="str">
        <f>Tableau4[[#This Row],[Séquence]]&amp;C290:C291</f>
        <v>532</v>
      </c>
      <c r="C291" s="12">
        <v>32</v>
      </c>
      <c r="D291" s="12">
        <v>1</v>
      </c>
      <c r="E291" s="12" t="s">
        <v>188</v>
      </c>
      <c r="F291" s="12" t="s">
        <v>17</v>
      </c>
      <c r="G291" s="12" t="s">
        <v>185</v>
      </c>
      <c r="H291" s="12" t="s">
        <v>17</v>
      </c>
      <c r="I291" s="12" t="str">
        <f>Tableau4[[#This Row],[Angle évalué]]&amp;"°"&amp;Tableau4[[#This Row],[Oreille]]</f>
        <v>45°D</v>
      </c>
    </row>
    <row r="292" spans="1:9" x14ac:dyDescent="0.25">
      <c r="A292" s="12">
        <v>5</v>
      </c>
      <c r="B292" s="12" t="str">
        <f>Tableau4[[#This Row],[Séquence]]&amp;C291:C292</f>
        <v>533</v>
      </c>
      <c r="C292" s="12">
        <v>33</v>
      </c>
      <c r="D292" s="12">
        <v>8</v>
      </c>
      <c r="E292" s="12" t="s">
        <v>191</v>
      </c>
      <c r="F292" s="12" t="s">
        <v>39</v>
      </c>
      <c r="G292" s="12" t="s">
        <v>192</v>
      </c>
      <c r="H292" s="12"/>
      <c r="I292" s="12" t="str">
        <f>Tableau4[[#This Row],[Angle évalué]]&amp;"°"&amp;Tableau4[[#This Row],[Oreille]]</f>
        <v>0°</v>
      </c>
    </row>
    <row r="293" spans="1:9" x14ac:dyDescent="0.25">
      <c r="A293" s="12">
        <v>5</v>
      </c>
      <c r="B293" s="12" t="str">
        <f>Tableau4[[#This Row],[Séquence]]&amp;C292:C293</f>
        <v>534</v>
      </c>
      <c r="C293" s="12">
        <v>34</v>
      </c>
      <c r="D293" s="12">
        <v>5</v>
      </c>
      <c r="E293" s="12" t="s">
        <v>187</v>
      </c>
      <c r="F293" s="12" t="s">
        <v>39</v>
      </c>
      <c r="G293" s="12" t="s">
        <v>190</v>
      </c>
      <c r="H293" s="12" t="s">
        <v>17</v>
      </c>
      <c r="I293" s="12" t="str">
        <f>Tableau4[[#This Row],[Angle évalué]]&amp;"°"&amp;Tableau4[[#This Row],[Oreille]]</f>
        <v>45arr°D</v>
      </c>
    </row>
    <row r="294" spans="1:9" x14ac:dyDescent="0.25">
      <c r="A294" s="12">
        <v>5</v>
      </c>
      <c r="B294" s="12" t="str">
        <f>Tableau4[[#This Row],[Séquence]]&amp;C293:C294</f>
        <v>535</v>
      </c>
      <c r="C294" s="12">
        <v>35</v>
      </c>
      <c r="D294" s="12">
        <v>4</v>
      </c>
      <c r="E294" s="12" t="s">
        <v>184</v>
      </c>
      <c r="F294" s="12" t="s">
        <v>39</v>
      </c>
      <c r="G294" s="12" t="s">
        <v>189</v>
      </c>
      <c r="H294" s="12"/>
      <c r="I294" s="12" t="str">
        <f>Tableau4[[#This Row],[Angle évalué]]&amp;"°"&amp;Tableau4[[#This Row],[Oreille]]</f>
        <v>180°</v>
      </c>
    </row>
    <row r="295" spans="1:9" x14ac:dyDescent="0.25">
      <c r="A295" s="12">
        <v>5</v>
      </c>
      <c r="B295" s="12" t="str">
        <f>Tableau4[[#This Row],[Séquence]]&amp;C294:C295</f>
        <v>536</v>
      </c>
      <c r="C295" s="12">
        <v>36</v>
      </c>
      <c r="D295" s="12">
        <v>1</v>
      </c>
      <c r="E295" s="12" t="s">
        <v>184</v>
      </c>
      <c r="F295" s="12" t="s">
        <v>17</v>
      </c>
      <c r="G295" s="12" t="s">
        <v>185</v>
      </c>
      <c r="H295" s="12" t="s">
        <v>17</v>
      </c>
      <c r="I295" s="12" t="str">
        <f>Tableau4[[#This Row],[Angle évalué]]&amp;"°"&amp;Tableau4[[#This Row],[Oreille]]</f>
        <v>45°D</v>
      </c>
    </row>
    <row r="296" spans="1:9" x14ac:dyDescent="0.25">
      <c r="A296" s="12">
        <v>5</v>
      </c>
      <c r="B296" s="12" t="str">
        <f>Tableau4[[#This Row],[Séquence]]&amp;C295:C296</f>
        <v>537</v>
      </c>
      <c r="C296" s="12">
        <v>37</v>
      </c>
      <c r="D296" s="12">
        <v>5</v>
      </c>
      <c r="E296" s="12" t="s">
        <v>191</v>
      </c>
      <c r="F296" s="12" t="s">
        <v>39</v>
      </c>
      <c r="G296" s="12" t="s">
        <v>190</v>
      </c>
      <c r="H296" s="12" t="s">
        <v>17</v>
      </c>
      <c r="I296" s="12" t="str">
        <f>Tableau4[[#This Row],[Angle évalué]]&amp;"°"&amp;Tableau4[[#This Row],[Oreille]]</f>
        <v>45arr°D</v>
      </c>
    </row>
    <row r="297" spans="1:9" x14ac:dyDescent="0.25">
      <c r="A297" s="12">
        <v>5</v>
      </c>
      <c r="B297" s="12" t="str">
        <f>Tableau4[[#This Row],[Séquence]]&amp;C296:C297</f>
        <v>538</v>
      </c>
      <c r="C297" s="12">
        <v>38</v>
      </c>
      <c r="D297" s="12">
        <v>3</v>
      </c>
      <c r="E297" s="12" t="s">
        <v>187</v>
      </c>
      <c r="F297" s="12" t="s">
        <v>17</v>
      </c>
      <c r="G297" s="12" t="s">
        <v>185</v>
      </c>
      <c r="H297" s="12" t="s">
        <v>39</v>
      </c>
      <c r="I297" s="12" t="str">
        <f>Tableau4[[#This Row],[Angle évalué]]&amp;"°"&amp;Tableau4[[#This Row],[Oreille]]</f>
        <v>45°G</v>
      </c>
    </row>
    <row r="298" spans="1:9" x14ac:dyDescent="0.25">
      <c r="A298" s="12">
        <v>5</v>
      </c>
      <c r="B298" s="12" t="str">
        <f>Tableau4[[#This Row],[Séquence]]&amp;C297:C298</f>
        <v>539</v>
      </c>
      <c r="C298" s="12">
        <v>39</v>
      </c>
      <c r="D298" s="12">
        <v>6</v>
      </c>
      <c r="E298" s="12" t="s">
        <v>188</v>
      </c>
      <c r="F298" s="12" t="s">
        <v>17</v>
      </c>
      <c r="G298" s="12" t="s">
        <v>189</v>
      </c>
      <c r="H298" s="12"/>
      <c r="I298" s="12" t="str">
        <f>Tableau4[[#This Row],[Angle évalué]]&amp;"°"&amp;Tableau4[[#This Row],[Oreille]]</f>
        <v>180°</v>
      </c>
    </row>
    <row r="299" spans="1:9" x14ac:dyDescent="0.25">
      <c r="A299" s="12">
        <v>5</v>
      </c>
      <c r="B299" s="12" t="str">
        <f>Tableau4[[#This Row],[Séquence]]&amp;C298:C299</f>
        <v>540</v>
      </c>
      <c r="C299" s="12">
        <v>40</v>
      </c>
      <c r="D299" s="12">
        <v>4</v>
      </c>
      <c r="E299" s="12" t="s">
        <v>187</v>
      </c>
      <c r="F299" s="12" t="s">
        <v>39</v>
      </c>
      <c r="G299" s="12" t="s">
        <v>189</v>
      </c>
      <c r="H299" s="12"/>
      <c r="I299" s="12" t="str">
        <f>Tableau4[[#This Row],[Angle évalué]]&amp;"°"&amp;Tableau4[[#This Row],[Oreille]]</f>
        <v>180°</v>
      </c>
    </row>
    <row r="300" spans="1:9" x14ac:dyDescent="0.25">
      <c r="A300" s="12">
        <v>5</v>
      </c>
      <c r="B300" s="12" t="str">
        <f>Tableau4[[#This Row],[Séquence]]&amp;C299:C300</f>
        <v>541</v>
      </c>
      <c r="C300" s="12">
        <v>41</v>
      </c>
      <c r="D300" s="12">
        <v>2</v>
      </c>
      <c r="E300" s="12" t="s">
        <v>184</v>
      </c>
      <c r="F300" s="12" t="s">
        <v>17</v>
      </c>
      <c r="G300" s="12" t="s">
        <v>192</v>
      </c>
      <c r="H300" s="12"/>
      <c r="I300" s="12" t="str">
        <f>Tableau4[[#This Row],[Angle évalué]]&amp;"°"&amp;Tableau4[[#This Row],[Oreille]]</f>
        <v>0°</v>
      </c>
    </row>
    <row r="301" spans="1:9" x14ac:dyDescent="0.25">
      <c r="A301" s="12">
        <v>5</v>
      </c>
      <c r="B301" s="12" t="str">
        <f>Tableau4[[#This Row],[Séquence]]&amp;C300:C301</f>
        <v>542</v>
      </c>
      <c r="C301" s="12">
        <v>42</v>
      </c>
      <c r="D301" s="12">
        <v>7</v>
      </c>
      <c r="E301" s="12" t="s">
        <v>191</v>
      </c>
      <c r="F301" s="12" t="s">
        <v>39</v>
      </c>
      <c r="G301" s="12" t="s">
        <v>185</v>
      </c>
      <c r="H301" s="12" t="s">
        <v>17</v>
      </c>
      <c r="I301" s="12" t="str">
        <f>Tableau4[[#This Row],[Angle évalué]]&amp;"°"&amp;Tableau4[[#This Row],[Oreille]]</f>
        <v>45°D</v>
      </c>
    </row>
    <row r="302" spans="1:9" x14ac:dyDescent="0.25">
      <c r="A302" s="12">
        <v>5</v>
      </c>
      <c r="B302" s="12" t="str">
        <f>Tableau4[[#This Row],[Séquence]]&amp;C301:C302</f>
        <v>543</v>
      </c>
      <c r="C302" s="12">
        <v>43</v>
      </c>
      <c r="D302" s="12">
        <v>2</v>
      </c>
      <c r="E302" s="12" t="s">
        <v>187</v>
      </c>
      <c r="F302" s="12" t="s">
        <v>17</v>
      </c>
      <c r="G302" s="12" t="s">
        <v>192</v>
      </c>
      <c r="H302" s="12"/>
      <c r="I302" s="12" t="str">
        <f>Tableau4[[#This Row],[Angle évalué]]&amp;"°"&amp;Tableau4[[#This Row],[Oreille]]</f>
        <v>0°</v>
      </c>
    </row>
    <row r="303" spans="1:9" x14ac:dyDescent="0.25">
      <c r="A303" s="12">
        <v>5</v>
      </c>
      <c r="B303" s="12" t="str">
        <f>Tableau4[[#This Row],[Séquence]]&amp;C302:C303</f>
        <v>544</v>
      </c>
      <c r="C303" s="12">
        <v>44</v>
      </c>
      <c r="D303" s="12">
        <v>1</v>
      </c>
      <c r="E303" s="12" t="s">
        <v>184</v>
      </c>
      <c r="F303" s="12" t="s">
        <v>39</v>
      </c>
      <c r="G303" s="12" t="s">
        <v>185</v>
      </c>
      <c r="H303" s="12" t="s">
        <v>39</v>
      </c>
      <c r="I303" s="12" t="str">
        <f>Tableau4[[#This Row],[Angle évalué]]&amp;"°"&amp;Tableau4[[#This Row],[Oreille]]</f>
        <v>45°G</v>
      </c>
    </row>
    <row r="304" spans="1:9" x14ac:dyDescent="0.25">
      <c r="A304" s="12">
        <v>5</v>
      </c>
      <c r="B304" s="12" t="str">
        <f>Tableau4[[#This Row],[Séquence]]&amp;C303:C304</f>
        <v>545</v>
      </c>
      <c r="C304" s="12">
        <v>45</v>
      </c>
      <c r="D304" s="12">
        <v>7</v>
      </c>
      <c r="E304" s="12" t="s">
        <v>188</v>
      </c>
      <c r="F304" s="12" t="s">
        <v>17</v>
      </c>
      <c r="G304" s="12" t="s">
        <v>190</v>
      </c>
      <c r="H304" s="12" t="s">
        <v>17</v>
      </c>
      <c r="I304" s="12" t="str">
        <f>Tableau4[[#This Row],[Angle évalué]]&amp;"°"&amp;Tableau4[[#This Row],[Oreille]]</f>
        <v>45arr°D</v>
      </c>
    </row>
    <row r="305" spans="1:9" x14ac:dyDescent="0.25">
      <c r="A305" s="12">
        <v>5</v>
      </c>
      <c r="B305" s="12" t="str">
        <f>Tableau4[[#This Row],[Séquence]]&amp;C304:C305</f>
        <v>546</v>
      </c>
      <c r="C305" s="12">
        <v>46</v>
      </c>
      <c r="D305" s="12">
        <v>4</v>
      </c>
      <c r="E305" s="12" t="s">
        <v>187</v>
      </c>
      <c r="F305" s="12" t="s">
        <v>17</v>
      </c>
      <c r="G305" s="12" t="s">
        <v>186</v>
      </c>
      <c r="H305" s="12" t="s">
        <v>39</v>
      </c>
      <c r="I305" s="12" t="str">
        <f>Tableau4[[#This Row],[Angle évalué]]&amp;"°"&amp;Tableau4[[#This Row],[Oreille]]</f>
        <v>90°G</v>
      </c>
    </row>
    <row r="306" spans="1:9" x14ac:dyDescent="0.25">
      <c r="A306" s="12">
        <v>5</v>
      </c>
      <c r="B306" s="12" t="str">
        <f>Tableau4[[#This Row],[Séquence]]&amp;C305:C306</f>
        <v>547</v>
      </c>
      <c r="C306" s="12">
        <v>47</v>
      </c>
      <c r="D306" s="12">
        <v>8</v>
      </c>
      <c r="E306" s="12" t="s">
        <v>188</v>
      </c>
      <c r="F306" s="12" t="s">
        <v>39</v>
      </c>
      <c r="G306" s="12" t="s">
        <v>192</v>
      </c>
      <c r="H306" s="12"/>
      <c r="I306" s="12" t="str">
        <f>Tableau4[[#This Row],[Angle évalué]]&amp;"°"&amp;Tableau4[[#This Row],[Oreille]]</f>
        <v>0°</v>
      </c>
    </row>
    <row r="307" spans="1:9" x14ac:dyDescent="0.25">
      <c r="A307" s="12">
        <v>5</v>
      </c>
      <c r="B307" s="12" t="str">
        <f>Tableau4[[#This Row],[Séquence]]&amp;C306:C307</f>
        <v>548</v>
      </c>
      <c r="C307" s="12">
        <v>48</v>
      </c>
      <c r="D307" s="12">
        <v>5</v>
      </c>
      <c r="E307" s="12" t="s">
        <v>191</v>
      </c>
      <c r="F307" s="12" t="s">
        <v>17</v>
      </c>
      <c r="G307" s="12" t="s">
        <v>190</v>
      </c>
      <c r="H307" s="12" t="s">
        <v>39</v>
      </c>
      <c r="I307" s="12" t="str">
        <f>Tableau4[[#This Row],[Angle évalué]]&amp;"°"&amp;Tableau4[[#This Row],[Oreille]]</f>
        <v>45arr°G</v>
      </c>
    </row>
    <row r="308" spans="1:9" x14ac:dyDescent="0.25">
      <c r="A308" s="12">
        <v>5</v>
      </c>
      <c r="B308" s="12" t="str">
        <f>Tableau4[[#This Row],[Séquence]]&amp;C307:C308</f>
        <v>549</v>
      </c>
      <c r="C308" s="12">
        <v>49</v>
      </c>
      <c r="D308" s="12">
        <v>3</v>
      </c>
      <c r="E308" s="12" t="s">
        <v>184</v>
      </c>
      <c r="F308" s="12" t="s">
        <v>39</v>
      </c>
      <c r="G308" s="12" t="s">
        <v>190</v>
      </c>
      <c r="H308" s="12" t="s">
        <v>39</v>
      </c>
      <c r="I308" s="12" t="str">
        <f>Tableau4[[#This Row],[Angle évalué]]&amp;"°"&amp;Tableau4[[#This Row],[Oreille]]</f>
        <v>45arr°G</v>
      </c>
    </row>
    <row r="309" spans="1:9" x14ac:dyDescent="0.25">
      <c r="A309" s="12">
        <v>5</v>
      </c>
      <c r="B309" s="12" t="str">
        <f>Tableau4[[#This Row],[Séquence]]&amp;C308:C309</f>
        <v>550</v>
      </c>
      <c r="C309" s="12">
        <v>50</v>
      </c>
      <c r="D309" s="12">
        <v>2</v>
      </c>
      <c r="E309" s="12" t="s">
        <v>188</v>
      </c>
      <c r="F309" s="12" t="s">
        <v>39</v>
      </c>
      <c r="G309" s="12" t="s">
        <v>186</v>
      </c>
      <c r="H309" s="12" t="s">
        <v>39</v>
      </c>
      <c r="I309" s="12" t="str">
        <f>Tableau4[[#This Row],[Angle évalué]]&amp;"°"&amp;Tableau4[[#This Row],[Oreille]]</f>
        <v>90°G</v>
      </c>
    </row>
    <row r="310" spans="1:9" x14ac:dyDescent="0.25">
      <c r="A310" s="12">
        <v>5</v>
      </c>
      <c r="B310" s="12" t="str">
        <f>Tableau4[[#This Row],[Séquence]]&amp;C309:C310</f>
        <v>551</v>
      </c>
      <c r="C310" s="12">
        <v>51</v>
      </c>
      <c r="D310" s="12">
        <v>4</v>
      </c>
      <c r="E310" s="12" t="s">
        <v>191</v>
      </c>
      <c r="F310" s="12" t="s">
        <v>17</v>
      </c>
      <c r="G310" s="12" t="s">
        <v>186</v>
      </c>
      <c r="H310" s="12" t="s">
        <v>39</v>
      </c>
      <c r="I310" s="12" t="str">
        <f>Tableau4[[#This Row],[Angle évalué]]&amp;"°"&amp;Tableau4[[#This Row],[Oreille]]</f>
        <v>90°G</v>
      </c>
    </row>
    <row r="311" spans="1:9" x14ac:dyDescent="0.25">
      <c r="A311" s="12">
        <v>5</v>
      </c>
      <c r="B311" s="12" t="str">
        <f>Tableau4[[#This Row],[Séquence]]&amp;C310:C311</f>
        <v>552</v>
      </c>
      <c r="C311" s="12">
        <v>52</v>
      </c>
      <c r="D311" s="12">
        <v>3</v>
      </c>
      <c r="E311" s="12" t="s">
        <v>188</v>
      </c>
      <c r="F311" s="12" t="s">
        <v>39</v>
      </c>
      <c r="G311" s="12" t="s">
        <v>190</v>
      </c>
      <c r="H311" s="12" t="s">
        <v>39</v>
      </c>
      <c r="I311" s="12" t="str">
        <f>Tableau4[[#This Row],[Angle évalué]]&amp;"°"&amp;Tableau4[[#This Row],[Oreille]]</f>
        <v>45arr°G</v>
      </c>
    </row>
    <row r="312" spans="1:9" x14ac:dyDescent="0.25">
      <c r="A312" s="12">
        <v>5</v>
      </c>
      <c r="B312" s="12" t="str">
        <f>Tableau4[[#This Row],[Séquence]]&amp;C311:C312</f>
        <v>553</v>
      </c>
      <c r="C312" s="12">
        <v>53</v>
      </c>
      <c r="D312" s="12">
        <v>5</v>
      </c>
      <c r="E312" s="12" t="s">
        <v>187</v>
      </c>
      <c r="F312" s="12" t="s">
        <v>17</v>
      </c>
      <c r="G312" s="12" t="s">
        <v>190</v>
      </c>
      <c r="H312" s="12" t="s">
        <v>39</v>
      </c>
      <c r="I312" s="12" t="str">
        <f>Tableau4[[#This Row],[Angle évalué]]&amp;"°"&amp;Tableau4[[#This Row],[Oreille]]</f>
        <v>45arr°G</v>
      </c>
    </row>
    <row r="313" spans="1:9" x14ac:dyDescent="0.25">
      <c r="A313" s="12">
        <v>5</v>
      </c>
      <c r="B313" s="12" t="str">
        <f>Tableau4[[#This Row],[Séquence]]&amp;C312:C313</f>
        <v>554</v>
      </c>
      <c r="C313" s="12">
        <v>54</v>
      </c>
      <c r="D313" s="12">
        <v>6</v>
      </c>
      <c r="E313" s="12" t="s">
        <v>191</v>
      </c>
      <c r="F313" s="12" t="s">
        <v>39</v>
      </c>
      <c r="G313" s="12" t="s">
        <v>186</v>
      </c>
      <c r="H313" s="12" t="s">
        <v>17</v>
      </c>
      <c r="I313" s="12" t="str">
        <f>Tableau4[[#This Row],[Angle évalué]]&amp;"°"&amp;Tableau4[[#This Row],[Oreille]]</f>
        <v>90°D</v>
      </c>
    </row>
    <row r="314" spans="1:9" x14ac:dyDescent="0.25">
      <c r="A314" s="12">
        <v>5</v>
      </c>
      <c r="B314" s="12" t="str">
        <f>Tableau4[[#This Row],[Séquence]]&amp;C313:C314</f>
        <v>555</v>
      </c>
      <c r="C314" s="12">
        <v>55</v>
      </c>
      <c r="D314" s="12">
        <v>1</v>
      </c>
      <c r="E314" s="12" t="s">
        <v>188</v>
      </c>
      <c r="F314" s="12" t="s">
        <v>17</v>
      </c>
      <c r="G314" s="12" t="s">
        <v>185</v>
      </c>
      <c r="H314" s="12" t="s">
        <v>17</v>
      </c>
      <c r="I314" s="12" t="str">
        <f>Tableau4[[#This Row],[Angle évalué]]&amp;"°"&amp;Tableau4[[#This Row],[Oreille]]</f>
        <v>45°D</v>
      </c>
    </row>
    <row r="315" spans="1:9" x14ac:dyDescent="0.25">
      <c r="A315" s="12">
        <v>5</v>
      </c>
      <c r="B315" s="12" t="str">
        <f>Tableau4[[#This Row],[Séquence]]&amp;C314:C315</f>
        <v>556</v>
      </c>
      <c r="C315" s="12">
        <v>56</v>
      </c>
      <c r="D315" s="12">
        <v>7</v>
      </c>
      <c r="E315" s="12" t="s">
        <v>184</v>
      </c>
      <c r="F315" s="12" t="s">
        <v>17</v>
      </c>
      <c r="G315" s="12" t="s">
        <v>190</v>
      </c>
      <c r="H315" s="12" t="s">
        <v>17</v>
      </c>
      <c r="I315" s="12" t="str">
        <f>Tableau4[[#This Row],[Angle évalué]]&amp;"°"&amp;Tableau4[[#This Row],[Oreille]]</f>
        <v>45arr°D</v>
      </c>
    </row>
    <row r="316" spans="1:9" x14ac:dyDescent="0.25">
      <c r="A316" s="12">
        <v>5</v>
      </c>
      <c r="B316" s="12" t="str">
        <f>Tableau4[[#This Row],[Séquence]]&amp;C315:C316</f>
        <v>557</v>
      </c>
      <c r="C316" s="12">
        <v>57</v>
      </c>
      <c r="D316" s="12">
        <v>1</v>
      </c>
      <c r="E316" s="12" t="s">
        <v>188</v>
      </c>
      <c r="F316" s="12" t="s">
        <v>39</v>
      </c>
      <c r="G316" s="12" t="s">
        <v>185</v>
      </c>
      <c r="H316" s="12" t="s">
        <v>39</v>
      </c>
      <c r="I316" s="12" t="str">
        <f>Tableau4[[#This Row],[Angle évalué]]&amp;"°"&amp;Tableau4[[#This Row],[Oreille]]</f>
        <v>45°G</v>
      </c>
    </row>
    <row r="317" spans="1:9" x14ac:dyDescent="0.25">
      <c r="A317" s="12">
        <v>5</v>
      </c>
      <c r="B317" s="12" t="str">
        <f>Tableau4[[#This Row],[Séquence]]&amp;C316:C317</f>
        <v>558</v>
      </c>
      <c r="C317" s="12">
        <v>58</v>
      </c>
      <c r="D317" s="12">
        <v>3</v>
      </c>
      <c r="E317" s="12" t="s">
        <v>191</v>
      </c>
      <c r="F317" s="12" t="s">
        <v>17</v>
      </c>
      <c r="G317" s="12" t="s">
        <v>185</v>
      </c>
      <c r="H317" s="12" t="s">
        <v>39</v>
      </c>
      <c r="I317" s="12" t="str">
        <f>Tableau4[[#This Row],[Angle évalué]]&amp;"°"&amp;Tableau4[[#This Row],[Oreille]]</f>
        <v>45°G</v>
      </c>
    </row>
    <row r="318" spans="1:9" x14ac:dyDescent="0.25">
      <c r="A318" s="12">
        <v>5</v>
      </c>
      <c r="B318" s="12" t="str">
        <f>Tableau4[[#This Row],[Séquence]]&amp;C317:C318</f>
        <v>559</v>
      </c>
      <c r="C318" s="12">
        <v>59</v>
      </c>
      <c r="D318" s="12">
        <v>6</v>
      </c>
      <c r="E318" s="12" t="s">
        <v>187</v>
      </c>
      <c r="F318" s="12" t="s">
        <v>39</v>
      </c>
      <c r="G318" s="12" t="s">
        <v>186</v>
      </c>
      <c r="H318" s="12" t="s">
        <v>17</v>
      </c>
      <c r="I318" s="12" t="str">
        <f>Tableau4[[#This Row],[Angle évalué]]&amp;"°"&amp;Tableau4[[#This Row],[Oreille]]</f>
        <v>90°D</v>
      </c>
    </row>
    <row r="319" spans="1:9" x14ac:dyDescent="0.25">
      <c r="A319" s="12">
        <v>5</v>
      </c>
      <c r="B319" s="12" t="str">
        <f>Tableau4[[#This Row],[Séquence]]&amp;C318:C319</f>
        <v>560</v>
      </c>
      <c r="C319" s="12">
        <v>60</v>
      </c>
      <c r="D319" s="12">
        <v>8</v>
      </c>
      <c r="E319" s="12" t="s">
        <v>188</v>
      </c>
      <c r="F319" s="12" t="s">
        <v>17</v>
      </c>
      <c r="G319" s="12" t="s">
        <v>186</v>
      </c>
      <c r="H319" s="12" t="s">
        <v>17</v>
      </c>
      <c r="I319" s="12" t="str">
        <f>Tableau4[[#This Row],[Angle évalué]]&amp;"°"&amp;Tableau4[[#This Row],[Oreille]]</f>
        <v>90°D</v>
      </c>
    </row>
    <row r="320" spans="1:9" x14ac:dyDescent="0.25">
      <c r="A320" s="12">
        <v>5</v>
      </c>
      <c r="B320" s="12" t="str">
        <f>Tableau4[[#This Row],[Séquence]]&amp;C319:C320</f>
        <v>561</v>
      </c>
      <c r="C320" s="12">
        <v>61</v>
      </c>
      <c r="D320" s="12">
        <v>6</v>
      </c>
      <c r="E320" s="12" t="s">
        <v>191</v>
      </c>
      <c r="F320" s="12" t="s">
        <v>17</v>
      </c>
      <c r="G320" s="12" t="s">
        <v>189</v>
      </c>
      <c r="H320" s="12"/>
      <c r="I320" s="12" t="str">
        <f>Tableau4[[#This Row],[Angle évalué]]&amp;"°"&amp;Tableau4[[#This Row],[Oreille]]</f>
        <v>180°</v>
      </c>
    </row>
    <row r="321" spans="1:9" x14ac:dyDescent="0.25">
      <c r="A321" s="12">
        <v>5</v>
      </c>
      <c r="B321" s="12" t="str">
        <f>Tableau4[[#This Row],[Séquence]]&amp;C320:C321</f>
        <v>562</v>
      </c>
      <c r="C321" s="12">
        <v>62</v>
      </c>
      <c r="D321" s="12">
        <v>8</v>
      </c>
      <c r="E321" s="12" t="s">
        <v>184</v>
      </c>
      <c r="F321" s="12" t="s">
        <v>17</v>
      </c>
      <c r="G321" s="12" t="s">
        <v>186</v>
      </c>
      <c r="H321" s="12" t="s">
        <v>17</v>
      </c>
      <c r="I321" s="12" t="str">
        <f>Tableau4[[#This Row],[Angle évalué]]&amp;"°"&amp;Tableau4[[#This Row],[Oreille]]</f>
        <v>90°D</v>
      </c>
    </row>
    <row r="322" spans="1:9" x14ac:dyDescent="0.25">
      <c r="A322" s="12">
        <v>5</v>
      </c>
      <c r="B322" s="12" t="str">
        <f>Tableau4[[#This Row],[Séquence]]&amp;C321:C322</f>
        <v>563</v>
      </c>
      <c r="C322" s="12">
        <v>63</v>
      </c>
      <c r="D322" s="12">
        <v>7</v>
      </c>
      <c r="E322" s="12" t="s">
        <v>187</v>
      </c>
      <c r="F322" s="12" t="s">
        <v>39</v>
      </c>
      <c r="G322" s="12" t="s">
        <v>185</v>
      </c>
      <c r="H322" s="12" t="s">
        <v>17</v>
      </c>
      <c r="I322" s="12" t="str">
        <f>Tableau4[[#This Row],[Angle évalué]]&amp;"°"&amp;Tableau4[[#This Row],[Oreille]]</f>
        <v>45°D</v>
      </c>
    </row>
    <row r="323" spans="1:9" x14ac:dyDescent="0.25">
      <c r="A323" s="12">
        <v>5</v>
      </c>
      <c r="B323" s="12" t="str">
        <f>Tableau4[[#This Row],[Séquence]]&amp;C322:C323</f>
        <v>564</v>
      </c>
      <c r="C323" s="12">
        <v>64</v>
      </c>
      <c r="D323" s="12">
        <v>2</v>
      </c>
      <c r="E323" s="12" t="s">
        <v>184</v>
      </c>
      <c r="F323" s="12" t="s">
        <v>39</v>
      </c>
      <c r="G323" s="12" t="s">
        <v>186</v>
      </c>
      <c r="H323" s="12" t="s">
        <v>39</v>
      </c>
      <c r="I323" s="12" t="str">
        <f>Tableau4[[#This Row],[Angle évalué]]&amp;"°"&amp;Tableau4[[#This Row],[Oreille]]</f>
        <v>90°G</v>
      </c>
    </row>
    <row r="324" spans="1:9" x14ac:dyDescent="0.25">
      <c r="A324" s="12">
        <v>6</v>
      </c>
      <c r="B324" s="12" t="str">
        <f>Tableau4[[#This Row],[Séquence]]&amp;C323:C324</f>
        <v>61</v>
      </c>
      <c r="C324" s="12">
        <v>1</v>
      </c>
      <c r="D324" s="12">
        <v>8</v>
      </c>
      <c r="E324" s="12" t="s">
        <v>188</v>
      </c>
      <c r="F324" s="12" t="s">
        <v>17</v>
      </c>
      <c r="G324" s="12" t="s">
        <v>186</v>
      </c>
      <c r="H324" s="12" t="s">
        <v>17</v>
      </c>
      <c r="I324" s="12" t="str">
        <f>Tableau4[[#This Row],[Angle évalué]]&amp;"°"&amp;Tableau4[[#This Row],[Oreille]]</f>
        <v>90°D</v>
      </c>
    </row>
    <row r="325" spans="1:9" x14ac:dyDescent="0.25">
      <c r="A325" s="12">
        <v>6</v>
      </c>
      <c r="B325" s="12" t="str">
        <f>Tableau4[[#This Row],[Séquence]]&amp;C324:C325</f>
        <v>62</v>
      </c>
      <c r="C325" s="12">
        <v>2</v>
      </c>
      <c r="D325" s="12">
        <v>6</v>
      </c>
      <c r="E325" s="12" t="s">
        <v>187</v>
      </c>
      <c r="F325" s="12" t="s">
        <v>39</v>
      </c>
      <c r="G325" s="12" t="s">
        <v>186</v>
      </c>
      <c r="H325" s="12" t="s">
        <v>17</v>
      </c>
      <c r="I325" s="12" t="str">
        <f>Tableau4[[#This Row],[Angle évalué]]&amp;"°"&amp;Tableau4[[#This Row],[Oreille]]</f>
        <v>90°D</v>
      </c>
    </row>
    <row r="326" spans="1:9" x14ac:dyDescent="0.25">
      <c r="A326" s="12">
        <v>6</v>
      </c>
      <c r="B326" s="12" t="str">
        <f>Tableau4[[#This Row],[Séquence]]&amp;C325:C326</f>
        <v>63</v>
      </c>
      <c r="C326" s="12">
        <v>3</v>
      </c>
      <c r="D326" s="12">
        <v>7</v>
      </c>
      <c r="E326" s="12" t="s">
        <v>191</v>
      </c>
      <c r="F326" s="12" t="s">
        <v>39</v>
      </c>
      <c r="G326" s="12" t="s">
        <v>185</v>
      </c>
      <c r="H326" s="12" t="s">
        <v>17</v>
      </c>
      <c r="I326" s="12" t="str">
        <f>Tableau4[[#This Row],[Angle évalué]]&amp;"°"&amp;Tableau4[[#This Row],[Oreille]]</f>
        <v>45°D</v>
      </c>
    </row>
    <row r="327" spans="1:9" x14ac:dyDescent="0.25">
      <c r="A327" s="12">
        <v>6</v>
      </c>
      <c r="B327" s="12" t="str">
        <f>Tableau4[[#This Row],[Séquence]]&amp;C326:C327</f>
        <v>64</v>
      </c>
      <c r="C327" s="12">
        <v>4</v>
      </c>
      <c r="D327" s="12">
        <v>3</v>
      </c>
      <c r="E327" s="12" t="s">
        <v>184</v>
      </c>
      <c r="F327" s="12" t="s">
        <v>39</v>
      </c>
      <c r="G327" s="12" t="s">
        <v>190</v>
      </c>
      <c r="H327" s="12" t="s">
        <v>39</v>
      </c>
      <c r="I327" s="12" t="str">
        <f>Tableau4[[#This Row],[Angle évalué]]&amp;"°"&amp;Tableau4[[#This Row],[Oreille]]</f>
        <v>45arr°G</v>
      </c>
    </row>
    <row r="328" spans="1:9" x14ac:dyDescent="0.25">
      <c r="A328" s="12">
        <v>6</v>
      </c>
      <c r="B328" s="12" t="str">
        <f>Tableau4[[#This Row],[Séquence]]&amp;C327:C328</f>
        <v>65</v>
      </c>
      <c r="C328" s="12">
        <v>5</v>
      </c>
      <c r="D328" s="12">
        <v>1</v>
      </c>
      <c r="E328" s="12" t="s">
        <v>188</v>
      </c>
      <c r="F328" s="12" t="s">
        <v>39</v>
      </c>
      <c r="G328" s="12" t="s">
        <v>185</v>
      </c>
      <c r="H328" s="12" t="s">
        <v>39</v>
      </c>
      <c r="I328" s="12" t="str">
        <f>Tableau4[[#This Row],[Angle évalué]]&amp;"°"&amp;Tableau4[[#This Row],[Oreille]]</f>
        <v>45°G</v>
      </c>
    </row>
    <row r="329" spans="1:9" x14ac:dyDescent="0.25">
      <c r="A329" s="12">
        <v>6</v>
      </c>
      <c r="B329" s="12" t="str">
        <f>Tableau4[[#This Row],[Séquence]]&amp;C328:C329</f>
        <v>66</v>
      </c>
      <c r="C329" s="12">
        <v>6</v>
      </c>
      <c r="D329" s="12">
        <v>7</v>
      </c>
      <c r="E329" s="12" t="s">
        <v>184</v>
      </c>
      <c r="F329" s="12" t="s">
        <v>17</v>
      </c>
      <c r="G329" s="12" t="s">
        <v>190</v>
      </c>
      <c r="H329" s="12" t="s">
        <v>17</v>
      </c>
      <c r="I329" s="12" t="str">
        <f>Tableau4[[#This Row],[Angle évalué]]&amp;"°"&amp;Tableau4[[#This Row],[Oreille]]</f>
        <v>45arr°D</v>
      </c>
    </row>
    <row r="330" spans="1:9" x14ac:dyDescent="0.25">
      <c r="A330" s="12">
        <v>6</v>
      </c>
      <c r="B330" s="12" t="str">
        <f>Tableau4[[#This Row],[Séquence]]&amp;C329:C330</f>
        <v>67</v>
      </c>
      <c r="C330" s="12">
        <v>7</v>
      </c>
      <c r="D330" s="12">
        <v>4</v>
      </c>
      <c r="E330" s="12" t="s">
        <v>187</v>
      </c>
      <c r="F330" s="12" t="s">
        <v>17</v>
      </c>
      <c r="G330" s="12" t="s">
        <v>186</v>
      </c>
      <c r="H330" s="12" t="s">
        <v>39</v>
      </c>
      <c r="I330" s="12" t="str">
        <f>Tableau4[[#This Row],[Angle évalué]]&amp;"°"&amp;Tableau4[[#This Row],[Oreille]]</f>
        <v>90°G</v>
      </c>
    </row>
    <row r="331" spans="1:9" x14ac:dyDescent="0.25">
      <c r="A331" s="12">
        <v>6</v>
      </c>
      <c r="B331" s="12" t="str">
        <f>Tableau4[[#This Row],[Séquence]]&amp;C330:C331</f>
        <v>68</v>
      </c>
      <c r="C331" s="12">
        <v>8</v>
      </c>
      <c r="D331" s="12">
        <v>1</v>
      </c>
      <c r="E331" s="12" t="s">
        <v>188</v>
      </c>
      <c r="F331" s="12" t="s">
        <v>17</v>
      </c>
      <c r="G331" s="12" t="s">
        <v>185</v>
      </c>
      <c r="H331" s="12" t="s">
        <v>17</v>
      </c>
      <c r="I331" s="12" t="str">
        <f>Tableau4[[#This Row],[Angle évalué]]&amp;"°"&amp;Tableau4[[#This Row],[Oreille]]</f>
        <v>45°D</v>
      </c>
    </row>
    <row r="332" spans="1:9" x14ac:dyDescent="0.25">
      <c r="A332" s="12">
        <v>6</v>
      </c>
      <c r="B332" s="12" t="str">
        <f>Tableau4[[#This Row],[Séquence]]&amp;C331:C332</f>
        <v>69</v>
      </c>
      <c r="C332" s="12">
        <v>9</v>
      </c>
      <c r="D332" s="12">
        <v>5</v>
      </c>
      <c r="E332" s="12" t="s">
        <v>191</v>
      </c>
      <c r="F332" s="12" t="s">
        <v>39</v>
      </c>
      <c r="G332" s="12" t="s">
        <v>190</v>
      </c>
      <c r="H332" s="12" t="s">
        <v>17</v>
      </c>
      <c r="I332" s="12" t="str">
        <f>Tableau4[[#This Row],[Angle évalué]]&amp;"°"&amp;Tableau4[[#This Row],[Oreille]]</f>
        <v>45arr°D</v>
      </c>
    </row>
    <row r="333" spans="1:9" x14ac:dyDescent="0.25">
      <c r="A333" s="12">
        <v>6</v>
      </c>
      <c r="B333" s="12" t="str">
        <f>Tableau4[[#This Row],[Séquence]]&amp;C332:C333</f>
        <v>610</v>
      </c>
      <c r="C333" s="12">
        <v>10</v>
      </c>
      <c r="D333" s="12">
        <v>3</v>
      </c>
      <c r="E333" s="12" t="s">
        <v>188</v>
      </c>
      <c r="F333" s="12" t="s">
        <v>39</v>
      </c>
      <c r="G333" s="12" t="s">
        <v>190</v>
      </c>
      <c r="H333" s="12" t="s">
        <v>39</v>
      </c>
      <c r="I333" s="12" t="str">
        <f>Tableau4[[#This Row],[Angle évalué]]&amp;"°"&amp;Tableau4[[#This Row],[Oreille]]</f>
        <v>45arr°G</v>
      </c>
    </row>
    <row r="334" spans="1:9" x14ac:dyDescent="0.25">
      <c r="A334" s="12">
        <v>6</v>
      </c>
      <c r="B334" s="12" t="str">
        <f>Tableau4[[#This Row],[Séquence]]&amp;C333:C334</f>
        <v>611</v>
      </c>
      <c r="C334" s="12">
        <v>11</v>
      </c>
      <c r="D334" s="12">
        <v>5</v>
      </c>
      <c r="E334" s="12" t="s">
        <v>191</v>
      </c>
      <c r="F334" s="12" t="s">
        <v>17</v>
      </c>
      <c r="G334" s="12" t="s">
        <v>190</v>
      </c>
      <c r="H334" s="12" t="s">
        <v>39</v>
      </c>
      <c r="I334" s="12" t="str">
        <f>Tableau4[[#This Row],[Angle évalué]]&amp;"°"&amp;Tableau4[[#This Row],[Oreille]]</f>
        <v>45arr°G</v>
      </c>
    </row>
    <row r="335" spans="1:9" x14ac:dyDescent="0.25">
      <c r="A335" s="12">
        <v>6</v>
      </c>
      <c r="B335" s="12" t="str">
        <f>Tableau4[[#This Row],[Séquence]]&amp;C334:C335</f>
        <v>612</v>
      </c>
      <c r="C335" s="12">
        <v>12</v>
      </c>
      <c r="D335" s="12">
        <v>1</v>
      </c>
      <c r="E335" s="12" t="s">
        <v>184</v>
      </c>
      <c r="F335" s="12" t="s">
        <v>17</v>
      </c>
      <c r="G335" s="12" t="s">
        <v>185</v>
      </c>
      <c r="H335" s="12" t="s">
        <v>17</v>
      </c>
      <c r="I335" s="12" t="str">
        <f>Tableau4[[#This Row],[Angle évalué]]&amp;"°"&amp;Tableau4[[#This Row],[Oreille]]</f>
        <v>45°D</v>
      </c>
    </row>
    <row r="336" spans="1:9" x14ac:dyDescent="0.25">
      <c r="A336" s="12">
        <v>6</v>
      </c>
      <c r="B336" s="12" t="str">
        <f>Tableau4[[#This Row],[Séquence]]&amp;C335:C336</f>
        <v>613</v>
      </c>
      <c r="C336" s="12">
        <v>13</v>
      </c>
      <c r="D336" s="12">
        <v>2</v>
      </c>
      <c r="E336" s="12" t="s">
        <v>184</v>
      </c>
      <c r="F336" s="12" t="s">
        <v>39</v>
      </c>
      <c r="G336" s="12" t="s">
        <v>186</v>
      </c>
      <c r="H336" s="12" t="s">
        <v>39</v>
      </c>
      <c r="I336" s="12" t="str">
        <f>Tableau4[[#This Row],[Angle évalué]]&amp;"°"&amp;Tableau4[[#This Row],[Oreille]]</f>
        <v>90°G</v>
      </c>
    </row>
    <row r="337" spans="1:9" x14ac:dyDescent="0.25">
      <c r="A337" s="12">
        <v>6</v>
      </c>
      <c r="B337" s="12" t="str">
        <f>Tableau4[[#This Row],[Séquence]]&amp;C336:C337</f>
        <v>614</v>
      </c>
      <c r="C337" s="12">
        <v>14</v>
      </c>
      <c r="D337" s="12">
        <v>4</v>
      </c>
      <c r="E337" s="12" t="s">
        <v>187</v>
      </c>
      <c r="F337" s="12" t="s">
        <v>39</v>
      </c>
      <c r="G337" s="12" t="s">
        <v>189</v>
      </c>
      <c r="H337" s="12"/>
      <c r="I337" s="12" t="str">
        <f>Tableau4[[#This Row],[Angle évalué]]&amp;"°"&amp;Tableau4[[#This Row],[Oreille]]</f>
        <v>180°</v>
      </c>
    </row>
    <row r="338" spans="1:9" x14ac:dyDescent="0.25">
      <c r="A338" s="12">
        <v>6</v>
      </c>
      <c r="B338" s="12" t="str">
        <f>Tableau4[[#This Row],[Séquence]]&amp;C337:C338</f>
        <v>615</v>
      </c>
      <c r="C338" s="12">
        <v>15</v>
      </c>
      <c r="D338" s="12">
        <v>6</v>
      </c>
      <c r="E338" s="12" t="s">
        <v>188</v>
      </c>
      <c r="F338" s="12" t="s">
        <v>17</v>
      </c>
      <c r="G338" s="12" t="s">
        <v>189</v>
      </c>
      <c r="H338" s="12"/>
      <c r="I338" s="12" t="str">
        <f>Tableau4[[#This Row],[Angle évalué]]&amp;"°"&amp;Tableau4[[#This Row],[Oreille]]</f>
        <v>180°</v>
      </c>
    </row>
    <row r="339" spans="1:9" x14ac:dyDescent="0.25">
      <c r="A339" s="12">
        <v>6</v>
      </c>
      <c r="B339" s="12" t="str">
        <f>Tableau4[[#This Row],[Séquence]]&amp;C338:C339</f>
        <v>616</v>
      </c>
      <c r="C339" s="12">
        <v>16</v>
      </c>
      <c r="D339" s="12">
        <v>7</v>
      </c>
      <c r="E339" s="12" t="s">
        <v>187</v>
      </c>
      <c r="F339" s="12" t="s">
        <v>39</v>
      </c>
      <c r="G339" s="12" t="s">
        <v>185</v>
      </c>
      <c r="H339" s="12" t="s">
        <v>17</v>
      </c>
      <c r="I339" s="12" t="str">
        <f>Tableau4[[#This Row],[Angle évalué]]&amp;"°"&amp;Tableau4[[#This Row],[Oreille]]</f>
        <v>45°D</v>
      </c>
    </row>
    <row r="340" spans="1:9" x14ac:dyDescent="0.25">
      <c r="A340" s="12">
        <v>6</v>
      </c>
      <c r="B340" s="12" t="str">
        <f>Tableau4[[#This Row],[Séquence]]&amp;C339:C340</f>
        <v>617</v>
      </c>
      <c r="C340" s="12">
        <v>17</v>
      </c>
      <c r="D340" s="12">
        <v>8</v>
      </c>
      <c r="E340" s="12" t="s">
        <v>184</v>
      </c>
      <c r="F340" s="12" t="s">
        <v>17</v>
      </c>
      <c r="G340" s="12" t="s">
        <v>186</v>
      </c>
      <c r="H340" s="12" t="s">
        <v>17</v>
      </c>
      <c r="I340" s="12" t="str">
        <f>Tableau4[[#This Row],[Angle évalué]]&amp;"°"&amp;Tableau4[[#This Row],[Oreille]]</f>
        <v>90°D</v>
      </c>
    </row>
    <row r="341" spans="1:9" x14ac:dyDescent="0.25">
      <c r="A341" s="12">
        <v>6</v>
      </c>
      <c r="B341" s="12" t="str">
        <f>Tableau4[[#This Row],[Séquence]]&amp;C340:C341</f>
        <v>618</v>
      </c>
      <c r="C341" s="12">
        <v>18</v>
      </c>
      <c r="D341" s="12">
        <v>4</v>
      </c>
      <c r="E341" s="12" t="s">
        <v>191</v>
      </c>
      <c r="F341" s="12" t="s">
        <v>17</v>
      </c>
      <c r="G341" s="12" t="s">
        <v>186</v>
      </c>
      <c r="H341" s="12" t="s">
        <v>39</v>
      </c>
      <c r="I341" s="12" t="str">
        <f>Tableau4[[#This Row],[Angle évalué]]&amp;"°"&amp;Tableau4[[#This Row],[Oreille]]</f>
        <v>90°G</v>
      </c>
    </row>
    <row r="342" spans="1:9" x14ac:dyDescent="0.25">
      <c r="A342" s="12">
        <v>6</v>
      </c>
      <c r="B342" s="12" t="str">
        <f>Tableau4[[#This Row],[Séquence]]&amp;C341:C342</f>
        <v>619</v>
      </c>
      <c r="C342" s="12">
        <v>19</v>
      </c>
      <c r="D342" s="12">
        <v>8</v>
      </c>
      <c r="E342" s="12" t="s">
        <v>188</v>
      </c>
      <c r="F342" s="12" t="s">
        <v>39</v>
      </c>
      <c r="G342" s="12" t="s">
        <v>192</v>
      </c>
      <c r="H342" s="12"/>
      <c r="I342" s="12" t="str">
        <f>Tableau4[[#This Row],[Angle évalué]]&amp;"°"&amp;Tableau4[[#This Row],[Oreille]]</f>
        <v>0°</v>
      </c>
    </row>
    <row r="343" spans="1:9" x14ac:dyDescent="0.25">
      <c r="A343" s="12">
        <v>6</v>
      </c>
      <c r="B343" s="12" t="str">
        <f>Tableau4[[#This Row],[Séquence]]&amp;C342:C343</f>
        <v>620</v>
      </c>
      <c r="C343" s="12">
        <v>20</v>
      </c>
      <c r="D343" s="12">
        <v>2</v>
      </c>
      <c r="E343" s="12" t="s">
        <v>188</v>
      </c>
      <c r="F343" s="12" t="s">
        <v>39</v>
      </c>
      <c r="G343" s="12" t="s">
        <v>186</v>
      </c>
      <c r="H343" s="12" t="s">
        <v>39</v>
      </c>
      <c r="I343" s="12" t="str">
        <f>Tableau4[[#This Row],[Angle évalué]]&amp;"°"&amp;Tableau4[[#This Row],[Oreille]]</f>
        <v>90°G</v>
      </c>
    </row>
    <row r="344" spans="1:9" x14ac:dyDescent="0.25">
      <c r="A344" s="12">
        <v>6</v>
      </c>
      <c r="B344" s="12" t="str">
        <f>Tableau4[[#This Row],[Séquence]]&amp;C343:C344</f>
        <v>621</v>
      </c>
      <c r="C344" s="12">
        <v>21</v>
      </c>
      <c r="D344" s="12">
        <v>3</v>
      </c>
      <c r="E344" s="12" t="s">
        <v>191</v>
      </c>
      <c r="F344" s="12" t="s">
        <v>17</v>
      </c>
      <c r="G344" s="12" t="s">
        <v>185</v>
      </c>
      <c r="H344" s="12" t="s">
        <v>39</v>
      </c>
      <c r="I344" s="12" t="str">
        <f>Tableau4[[#This Row],[Angle évalué]]&amp;"°"&amp;Tableau4[[#This Row],[Oreille]]</f>
        <v>45°G</v>
      </c>
    </row>
    <row r="345" spans="1:9" x14ac:dyDescent="0.25">
      <c r="A345" s="12">
        <v>6</v>
      </c>
      <c r="B345" s="12" t="str">
        <f>Tableau4[[#This Row],[Séquence]]&amp;C344:C345</f>
        <v>622</v>
      </c>
      <c r="C345" s="12">
        <v>22</v>
      </c>
      <c r="D345" s="12">
        <v>6</v>
      </c>
      <c r="E345" s="12" t="s">
        <v>191</v>
      </c>
      <c r="F345" s="12" t="s">
        <v>39</v>
      </c>
      <c r="G345" s="12" t="s">
        <v>186</v>
      </c>
      <c r="H345" s="12" t="s">
        <v>17</v>
      </c>
      <c r="I345" s="12" t="str">
        <f>Tableau4[[#This Row],[Angle évalué]]&amp;"°"&amp;Tableau4[[#This Row],[Oreille]]</f>
        <v>90°D</v>
      </c>
    </row>
    <row r="346" spans="1:9" x14ac:dyDescent="0.25">
      <c r="A346" s="12">
        <v>6</v>
      </c>
      <c r="B346" s="12" t="str">
        <f>Tableau4[[#This Row],[Séquence]]&amp;C345:C346</f>
        <v>623</v>
      </c>
      <c r="C346" s="12">
        <v>23</v>
      </c>
      <c r="D346" s="12">
        <v>5</v>
      </c>
      <c r="E346" s="12" t="s">
        <v>187</v>
      </c>
      <c r="F346" s="12" t="s">
        <v>17</v>
      </c>
      <c r="G346" s="12" t="s">
        <v>190</v>
      </c>
      <c r="H346" s="12" t="s">
        <v>39</v>
      </c>
      <c r="I346" s="12" t="str">
        <f>Tableau4[[#This Row],[Angle évalué]]&amp;"°"&amp;Tableau4[[#This Row],[Oreille]]</f>
        <v>45arr°G</v>
      </c>
    </row>
    <row r="347" spans="1:9" x14ac:dyDescent="0.25">
      <c r="A347" s="12">
        <v>6</v>
      </c>
      <c r="B347" s="12" t="str">
        <f>Tableau4[[#This Row],[Séquence]]&amp;C346:C347</f>
        <v>624</v>
      </c>
      <c r="C347" s="12">
        <v>24</v>
      </c>
      <c r="D347" s="12">
        <v>1</v>
      </c>
      <c r="E347" s="12" t="s">
        <v>184</v>
      </c>
      <c r="F347" s="12" t="s">
        <v>39</v>
      </c>
      <c r="G347" s="12" t="s">
        <v>185</v>
      </c>
      <c r="H347" s="12" t="s">
        <v>39</v>
      </c>
      <c r="I347" s="12" t="str">
        <f>Tableau4[[#This Row],[Angle évalué]]&amp;"°"&amp;Tableau4[[#This Row],[Oreille]]</f>
        <v>45°G</v>
      </c>
    </row>
    <row r="348" spans="1:9" x14ac:dyDescent="0.25">
      <c r="A348" s="12">
        <v>6</v>
      </c>
      <c r="B348" s="12" t="str">
        <f>Tableau4[[#This Row],[Séquence]]&amp;C347:C348</f>
        <v>625</v>
      </c>
      <c r="C348" s="12">
        <v>25</v>
      </c>
      <c r="D348" s="12">
        <v>2</v>
      </c>
      <c r="E348" s="12" t="s">
        <v>187</v>
      </c>
      <c r="F348" s="12" t="s">
        <v>17</v>
      </c>
      <c r="G348" s="12" t="s">
        <v>192</v>
      </c>
      <c r="H348" s="12"/>
      <c r="I348" s="12" t="str">
        <f>Tableau4[[#This Row],[Angle évalué]]&amp;"°"&amp;Tableau4[[#This Row],[Oreille]]</f>
        <v>0°</v>
      </c>
    </row>
    <row r="349" spans="1:9" x14ac:dyDescent="0.25">
      <c r="A349" s="12">
        <v>6</v>
      </c>
      <c r="B349" s="12" t="str">
        <f>Tableau4[[#This Row],[Séquence]]&amp;C348:C349</f>
        <v>626</v>
      </c>
      <c r="C349" s="12">
        <v>26</v>
      </c>
      <c r="D349" s="12">
        <v>8</v>
      </c>
      <c r="E349" s="12" t="s">
        <v>191</v>
      </c>
      <c r="F349" s="12" t="s">
        <v>39</v>
      </c>
      <c r="G349" s="12" t="s">
        <v>192</v>
      </c>
      <c r="H349" s="12"/>
      <c r="I349" s="12" t="str">
        <f>Tableau4[[#This Row],[Angle évalué]]&amp;"°"&amp;Tableau4[[#This Row],[Oreille]]</f>
        <v>0°</v>
      </c>
    </row>
    <row r="350" spans="1:9" x14ac:dyDescent="0.25">
      <c r="A350" s="12">
        <v>6</v>
      </c>
      <c r="B350" s="12" t="str">
        <f>Tableau4[[#This Row],[Séquence]]&amp;C349:C350</f>
        <v>627</v>
      </c>
      <c r="C350" s="12">
        <v>27</v>
      </c>
      <c r="D350" s="12">
        <v>4</v>
      </c>
      <c r="E350" s="12" t="s">
        <v>184</v>
      </c>
      <c r="F350" s="12" t="s">
        <v>39</v>
      </c>
      <c r="G350" s="12" t="s">
        <v>189</v>
      </c>
      <c r="H350" s="12"/>
      <c r="I350" s="12" t="str">
        <f>Tableau4[[#This Row],[Angle évalué]]&amp;"°"&amp;Tableau4[[#This Row],[Oreille]]</f>
        <v>180°</v>
      </c>
    </row>
    <row r="351" spans="1:9" x14ac:dyDescent="0.25">
      <c r="A351" s="12">
        <v>6</v>
      </c>
      <c r="B351" s="12" t="str">
        <f>Tableau4[[#This Row],[Séquence]]&amp;C350:C351</f>
        <v>628</v>
      </c>
      <c r="C351" s="12">
        <v>28</v>
      </c>
      <c r="D351" s="12">
        <v>7</v>
      </c>
      <c r="E351" s="12" t="s">
        <v>188</v>
      </c>
      <c r="F351" s="12" t="s">
        <v>17</v>
      </c>
      <c r="G351" s="12" t="s">
        <v>190</v>
      </c>
      <c r="H351" s="12" t="s">
        <v>17</v>
      </c>
      <c r="I351" s="12" t="str">
        <f>Tableau4[[#This Row],[Angle évalué]]&amp;"°"&amp;Tableau4[[#This Row],[Oreille]]</f>
        <v>45arr°D</v>
      </c>
    </row>
    <row r="352" spans="1:9" x14ac:dyDescent="0.25">
      <c r="A352" s="12">
        <v>6</v>
      </c>
      <c r="B352" s="12" t="str">
        <f>Tableau4[[#This Row],[Séquence]]&amp;C351:C352</f>
        <v>629</v>
      </c>
      <c r="C352" s="12">
        <v>29</v>
      </c>
      <c r="D352" s="12">
        <v>5</v>
      </c>
      <c r="E352" s="12" t="s">
        <v>187</v>
      </c>
      <c r="F352" s="12" t="s">
        <v>39</v>
      </c>
      <c r="G352" s="12" t="s">
        <v>190</v>
      </c>
      <c r="H352" s="12" t="s">
        <v>17</v>
      </c>
      <c r="I352" s="12" t="str">
        <f>Tableau4[[#This Row],[Angle évalué]]&amp;"°"&amp;Tableau4[[#This Row],[Oreille]]</f>
        <v>45arr°D</v>
      </c>
    </row>
    <row r="353" spans="1:9" x14ac:dyDescent="0.25">
      <c r="A353" s="12">
        <v>6</v>
      </c>
      <c r="B353" s="12" t="str">
        <f>Tableau4[[#This Row],[Séquence]]&amp;C352:C353</f>
        <v>630</v>
      </c>
      <c r="C353" s="12">
        <v>30</v>
      </c>
      <c r="D353" s="12">
        <v>2</v>
      </c>
      <c r="E353" s="12" t="s">
        <v>184</v>
      </c>
      <c r="F353" s="12" t="s">
        <v>17</v>
      </c>
      <c r="G353" s="12" t="s">
        <v>192</v>
      </c>
      <c r="H353" s="12"/>
      <c r="I353" s="12" t="str">
        <f>Tableau4[[#This Row],[Angle évalué]]&amp;"°"&amp;Tableau4[[#This Row],[Oreille]]</f>
        <v>0°</v>
      </c>
    </row>
    <row r="354" spans="1:9" x14ac:dyDescent="0.25">
      <c r="A354" s="12">
        <v>6</v>
      </c>
      <c r="B354" s="12" t="str">
        <f>Tableau4[[#This Row],[Séquence]]&amp;C353:C354</f>
        <v>631</v>
      </c>
      <c r="C354" s="12">
        <v>31</v>
      </c>
      <c r="D354" s="12">
        <v>6</v>
      </c>
      <c r="E354" s="12" t="s">
        <v>191</v>
      </c>
      <c r="F354" s="12" t="s">
        <v>17</v>
      </c>
      <c r="G354" s="12" t="s">
        <v>189</v>
      </c>
      <c r="H354" s="12"/>
      <c r="I354" s="12" t="str">
        <f>Tableau4[[#This Row],[Angle évalué]]&amp;"°"&amp;Tableau4[[#This Row],[Oreille]]</f>
        <v>180°</v>
      </c>
    </row>
    <row r="355" spans="1:9" x14ac:dyDescent="0.25">
      <c r="A355" s="12">
        <v>6</v>
      </c>
      <c r="B355" s="12" t="str">
        <f>Tableau4[[#This Row],[Séquence]]&amp;C354:C355</f>
        <v>632</v>
      </c>
      <c r="C355" s="12">
        <v>32</v>
      </c>
      <c r="D355" s="12">
        <v>3</v>
      </c>
      <c r="E355" s="12" t="s">
        <v>187</v>
      </c>
      <c r="F355" s="12" t="s">
        <v>17</v>
      </c>
      <c r="G355" s="12" t="s">
        <v>185</v>
      </c>
      <c r="H355" s="12" t="s">
        <v>39</v>
      </c>
      <c r="I355" s="12" t="str">
        <f>Tableau4[[#This Row],[Angle évalué]]&amp;"°"&amp;Tableau4[[#This Row],[Oreille]]</f>
        <v>45°G</v>
      </c>
    </row>
    <row r="356" spans="1:9" x14ac:dyDescent="0.25">
      <c r="A356" s="12">
        <v>6</v>
      </c>
      <c r="B356" s="12" t="str">
        <f>Tableau4[[#This Row],[Séquence]]&amp;C355:C356</f>
        <v>633</v>
      </c>
      <c r="C356" s="12">
        <v>33</v>
      </c>
      <c r="D356" s="12">
        <v>3</v>
      </c>
      <c r="E356" s="12" t="s">
        <v>184</v>
      </c>
      <c r="F356" s="12" t="s">
        <v>39</v>
      </c>
      <c r="G356" s="12" t="s">
        <v>190</v>
      </c>
      <c r="H356" s="12" t="s">
        <v>39</v>
      </c>
      <c r="I356" s="12" t="str">
        <f>Tableau4[[#This Row],[Angle évalué]]&amp;"°"&amp;Tableau4[[#This Row],[Oreille]]</f>
        <v>45arr°G</v>
      </c>
    </row>
    <row r="357" spans="1:9" x14ac:dyDescent="0.25">
      <c r="A357" s="12">
        <v>6</v>
      </c>
      <c r="B357" s="12" t="str">
        <f>Tableau4[[#This Row],[Séquence]]&amp;C356:C357</f>
        <v>634</v>
      </c>
      <c r="C357" s="12">
        <v>34</v>
      </c>
      <c r="D357" s="12">
        <v>6</v>
      </c>
      <c r="E357" s="12" t="s">
        <v>191</v>
      </c>
      <c r="F357" s="12" t="s">
        <v>17</v>
      </c>
      <c r="G357" s="12" t="s">
        <v>189</v>
      </c>
      <c r="H357" s="12"/>
      <c r="I357" s="12" t="str">
        <f>Tableau4[[#This Row],[Angle évalué]]&amp;"°"&amp;Tableau4[[#This Row],[Oreille]]</f>
        <v>180°</v>
      </c>
    </row>
    <row r="358" spans="1:9" x14ac:dyDescent="0.25">
      <c r="A358" s="12">
        <v>6</v>
      </c>
      <c r="B358" s="12" t="str">
        <f>Tableau4[[#This Row],[Séquence]]&amp;C357:C358</f>
        <v>635</v>
      </c>
      <c r="C358" s="12">
        <v>35</v>
      </c>
      <c r="D358" s="12">
        <v>3</v>
      </c>
      <c r="E358" s="12" t="s">
        <v>187</v>
      </c>
      <c r="F358" s="12" t="s">
        <v>17</v>
      </c>
      <c r="G358" s="12" t="s">
        <v>185</v>
      </c>
      <c r="H358" s="12" t="s">
        <v>39</v>
      </c>
      <c r="I358" s="12" t="str">
        <f>Tableau4[[#This Row],[Angle évalué]]&amp;"°"&amp;Tableau4[[#This Row],[Oreille]]</f>
        <v>45°G</v>
      </c>
    </row>
    <row r="359" spans="1:9" x14ac:dyDescent="0.25">
      <c r="A359" s="12">
        <v>6</v>
      </c>
      <c r="B359" s="12" t="str">
        <f>Tableau4[[#This Row],[Séquence]]&amp;C358:C359</f>
        <v>636</v>
      </c>
      <c r="C359" s="12">
        <v>36</v>
      </c>
      <c r="D359" s="12">
        <v>2</v>
      </c>
      <c r="E359" s="12" t="s">
        <v>184</v>
      </c>
      <c r="F359" s="12" t="s">
        <v>17</v>
      </c>
      <c r="G359" s="12" t="s">
        <v>192</v>
      </c>
      <c r="H359" s="12"/>
      <c r="I359" s="12" t="str">
        <f>Tableau4[[#This Row],[Angle évalué]]&amp;"°"&amp;Tableau4[[#This Row],[Oreille]]</f>
        <v>0°</v>
      </c>
    </row>
    <row r="360" spans="1:9" x14ac:dyDescent="0.25">
      <c r="A360" s="12">
        <v>6</v>
      </c>
      <c r="B360" s="12" t="str">
        <f>Tableau4[[#This Row],[Séquence]]&amp;C359:C360</f>
        <v>637</v>
      </c>
      <c r="C360" s="12">
        <v>37</v>
      </c>
      <c r="D360" s="12">
        <v>5</v>
      </c>
      <c r="E360" s="12" t="s">
        <v>187</v>
      </c>
      <c r="F360" s="12" t="s">
        <v>39</v>
      </c>
      <c r="G360" s="12" t="s">
        <v>190</v>
      </c>
      <c r="H360" s="12" t="s">
        <v>17</v>
      </c>
      <c r="I360" s="12" t="str">
        <f>Tableau4[[#This Row],[Angle évalué]]&amp;"°"&amp;Tableau4[[#This Row],[Oreille]]</f>
        <v>45arr°D</v>
      </c>
    </row>
    <row r="361" spans="1:9" x14ac:dyDescent="0.25">
      <c r="A361" s="12">
        <v>6</v>
      </c>
      <c r="B361" s="12" t="str">
        <f>Tableau4[[#This Row],[Séquence]]&amp;C360:C361</f>
        <v>638</v>
      </c>
      <c r="C361" s="12">
        <v>38</v>
      </c>
      <c r="D361" s="12">
        <v>7</v>
      </c>
      <c r="E361" s="12" t="s">
        <v>188</v>
      </c>
      <c r="F361" s="12" t="s">
        <v>17</v>
      </c>
      <c r="G361" s="12" t="s">
        <v>190</v>
      </c>
      <c r="H361" s="12" t="s">
        <v>17</v>
      </c>
      <c r="I361" s="12" t="str">
        <f>Tableau4[[#This Row],[Angle évalué]]&amp;"°"&amp;Tableau4[[#This Row],[Oreille]]</f>
        <v>45arr°D</v>
      </c>
    </row>
    <row r="362" spans="1:9" x14ac:dyDescent="0.25">
      <c r="A362" s="12">
        <v>6</v>
      </c>
      <c r="B362" s="12" t="str">
        <f>Tableau4[[#This Row],[Séquence]]&amp;C361:C362</f>
        <v>639</v>
      </c>
      <c r="C362" s="12">
        <v>39</v>
      </c>
      <c r="D362" s="12">
        <v>4</v>
      </c>
      <c r="E362" s="12" t="s">
        <v>184</v>
      </c>
      <c r="F362" s="12" t="s">
        <v>39</v>
      </c>
      <c r="G362" s="12" t="s">
        <v>189</v>
      </c>
      <c r="H362" s="12"/>
      <c r="I362" s="12" t="str">
        <f>Tableau4[[#This Row],[Angle évalué]]&amp;"°"&amp;Tableau4[[#This Row],[Oreille]]</f>
        <v>180°</v>
      </c>
    </row>
    <row r="363" spans="1:9" x14ac:dyDescent="0.25">
      <c r="A363" s="12">
        <v>6</v>
      </c>
      <c r="B363" s="12" t="str">
        <f>Tableau4[[#This Row],[Séquence]]&amp;C362:C363</f>
        <v>640</v>
      </c>
      <c r="C363" s="12">
        <v>40</v>
      </c>
      <c r="D363" s="12">
        <v>8</v>
      </c>
      <c r="E363" s="12" t="s">
        <v>191</v>
      </c>
      <c r="F363" s="12" t="s">
        <v>39</v>
      </c>
      <c r="G363" s="12" t="s">
        <v>192</v>
      </c>
      <c r="H363" s="12"/>
      <c r="I363" s="12" t="str">
        <f>Tableau4[[#This Row],[Angle évalué]]&amp;"°"&amp;Tableau4[[#This Row],[Oreille]]</f>
        <v>0°</v>
      </c>
    </row>
    <row r="364" spans="1:9" x14ac:dyDescent="0.25">
      <c r="A364" s="12">
        <v>6</v>
      </c>
      <c r="B364" s="12" t="str">
        <f>Tableau4[[#This Row],[Séquence]]&amp;C363:C364</f>
        <v>641</v>
      </c>
      <c r="C364" s="12">
        <v>41</v>
      </c>
      <c r="D364" s="12">
        <v>2</v>
      </c>
      <c r="E364" s="12" t="s">
        <v>187</v>
      </c>
      <c r="F364" s="12" t="s">
        <v>17</v>
      </c>
      <c r="G364" s="12" t="s">
        <v>192</v>
      </c>
      <c r="H364" s="12"/>
      <c r="I364" s="12" t="str">
        <f>Tableau4[[#This Row],[Angle évalué]]&amp;"°"&amp;Tableau4[[#This Row],[Oreille]]</f>
        <v>0°</v>
      </c>
    </row>
    <row r="365" spans="1:9" x14ac:dyDescent="0.25">
      <c r="A365" s="12">
        <v>6</v>
      </c>
      <c r="B365" s="12" t="str">
        <f>Tableau4[[#This Row],[Séquence]]&amp;C364:C365</f>
        <v>642</v>
      </c>
      <c r="C365" s="12">
        <v>42</v>
      </c>
      <c r="D365" s="12">
        <v>1</v>
      </c>
      <c r="E365" s="12" t="s">
        <v>184</v>
      </c>
      <c r="F365" s="12" t="s">
        <v>39</v>
      </c>
      <c r="G365" s="12" t="s">
        <v>185</v>
      </c>
      <c r="H365" s="12" t="s">
        <v>39</v>
      </c>
      <c r="I365" s="12" t="str">
        <f>Tableau4[[#This Row],[Angle évalué]]&amp;"°"&amp;Tableau4[[#This Row],[Oreille]]</f>
        <v>45°G</v>
      </c>
    </row>
    <row r="366" spans="1:9" x14ac:dyDescent="0.25">
      <c r="A366" s="12">
        <v>6</v>
      </c>
      <c r="B366" s="12" t="str">
        <f>Tableau4[[#This Row],[Séquence]]&amp;C365:C366</f>
        <v>643</v>
      </c>
      <c r="C366" s="12">
        <v>43</v>
      </c>
      <c r="D366" s="12">
        <v>5</v>
      </c>
      <c r="E366" s="12" t="s">
        <v>187</v>
      </c>
      <c r="F366" s="12" t="s">
        <v>17</v>
      </c>
      <c r="G366" s="12" t="s">
        <v>190</v>
      </c>
      <c r="H366" s="12" t="s">
        <v>39</v>
      </c>
      <c r="I366" s="12" t="str">
        <f>Tableau4[[#This Row],[Angle évalué]]&amp;"°"&amp;Tableau4[[#This Row],[Oreille]]</f>
        <v>45arr°G</v>
      </c>
    </row>
    <row r="367" spans="1:9" x14ac:dyDescent="0.25">
      <c r="A367" s="12">
        <v>6</v>
      </c>
      <c r="B367" s="12" t="str">
        <f>Tableau4[[#This Row],[Séquence]]&amp;C366:C367</f>
        <v>644</v>
      </c>
      <c r="C367" s="12">
        <v>44</v>
      </c>
      <c r="D367" s="12">
        <v>6</v>
      </c>
      <c r="E367" s="12" t="s">
        <v>191</v>
      </c>
      <c r="F367" s="12" t="s">
        <v>39</v>
      </c>
      <c r="G367" s="12" t="s">
        <v>186</v>
      </c>
      <c r="H367" s="12" t="s">
        <v>17</v>
      </c>
      <c r="I367" s="12" t="str">
        <f>Tableau4[[#This Row],[Angle évalué]]&amp;"°"&amp;Tableau4[[#This Row],[Oreille]]</f>
        <v>90°D</v>
      </c>
    </row>
    <row r="368" spans="1:9" x14ac:dyDescent="0.25">
      <c r="A368" s="12">
        <v>6</v>
      </c>
      <c r="B368" s="12" t="str">
        <f>Tableau4[[#This Row],[Séquence]]&amp;C367:C368</f>
        <v>645</v>
      </c>
      <c r="C368" s="12">
        <v>45</v>
      </c>
      <c r="D368" s="12">
        <v>3</v>
      </c>
      <c r="E368" s="12" t="s">
        <v>191</v>
      </c>
      <c r="F368" s="12" t="s">
        <v>17</v>
      </c>
      <c r="G368" s="12" t="s">
        <v>185</v>
      </c>
      <c r="H368" s="12" t="s">
        <v>39</v>
      </c>
      <c r="I368" s="12" t="str">
        <f>Tableau4[[#This Row],[Angle évalué]]&amp;"°"&amp;Tableau4[[#This Row],[Oreille]]</f>
        <v>45°G</v>
      </c>
    </row>
    <row r="369" spans="1:9" x14ac:dyDescent="0.25">
      <c r="A369" s="12">
        <v>6</v>
      </c>
      <c r="B369" s="12" t="str">
        <f>Tableau4[[#This Row],[Séquence]]&amp;C368:C369</f>
        <v>646</v>
      </c>
      <c r="C369" s="12">
        <v>46</v>
      </c>
      <c r="D369" s="12">
        <v>2</v>
      </c>
      <c r="E369" s="12" t="s">
        <v>188</v>
      </c>
      <c r="F369" s="12" t="s">
        <v>39</v>
      </c>
      <c r="G369" s="12" t="s">
        <v>186</v>
      </c>
      <c r="H369" s="12" t="s">
        <v>39</v>
      </c>
      <c r="I369" s="12" t="str">
        <f>Tableau4[[#This Row],[Angle évalué]]&amp;"°"&amp;Tableau4[[#This Row],[Oreille]]</f>
        <v>90°G</v>
      </c>
    </row>
    <row r="370" spans="1:9" x14ac:dyDescent="0.25">
      <c r="A370" s="12">
        <v>6</v>
      </c>
      <c r="B370" s="12" t="str">
        <f>Tableau4[[#This Row],[Séquence]]&amp;C369:C370</f>
        <v>647</v>
      </c>
      <c r="C370" s="12">
        <v>47</v>
      </c>
      <c r="D370" s="12">
        <v>8</v>
      </c>
      <c r="E370" s="12" t="s">
        <v>188</v>
      </c>
      <c r="F370" s="12" t="s">
        <v>39</v>
      </c>
      <c r="G370" s="12" t="s">
        <v>192</v>
      </c>
      <c r="H370" s="12"/>
      <c r="I370" s="12" t="str">
        <f>Tableau4[[#This Row],[Angle évalué]]&amp;"°"&amp;Tableau4[[#This Row],[Oreille]]</f>
        <v>0°</v>
      </c>
    </row>
    <row r="371" spans="1:9" x14ac:dyDescent="0.25">
      <c r="A371" s="12">
        <v>6</v>
      </c>
      <c r="B371" s="12" t="str">
        <f>Tableau4[[#This Row],[Séquence]]&amp;C370:C371</f>
        <v>648</v>
      </c>
      <c r="C371" s="12">
        <v>48</v>
      </c>
      <c r="D371" s="12">
        <v>4</v>
      </c>
      <c r="E371" s="12" t="s">
        <v>191</v>
      </c>
      <c r="F371" s="12" t="s">
        <v>17</v>
      </c>
      <c r="G371" s="12" t="s">
        <v>186</v>
      </c>
      <c r="H371" s="12" t="s">
        <v>39</v>
      </c>
      <c r="I371" s="12" t="str">
        <f>Tableau4[[#This Row],[Angle évalué]]&amp;"°"&amp;Tableau4[[#This Row],[Oreille]]</f>
        <v>90°G</v>
      </c>
    </row>
    <row r="372" spans="1:9" x14ac:dyDescent="0.25">
      <c r="A372" s="12">
        <v>6</v>
      </c>
      <c r="B372" s="12" t="str">
        <f>Tableau4[[#This Row],[Séquence]]&amp;C371:C372</f>
        <v>649</v>
      </c>
      <c r="C372" s="12">
        <v>49</v>
      </c>
      <c r="D372" s="12">
        <v>8</v>
      </c>
      <c r="E372" s="12" t="s">
        <v>184</v>
      </c>
      <c r="F372" s="12" t="s">
        <v>17</v>
      </c>
      <c r="G372" s="12" t="s">
        <v>186</v>
      </c>
      <c r="H372" s="12" t="s">
        <v>17</v>
      </c>
      <c r="I372" s="12" t="str">
        <f>Tableau4[[#This Row],[Angle évalué]]&amp;"°"&amp;Tableau4[[#This Row],[Oreille]]</f>
        <v>90°D</v>
      </c>
    </row>
    <row r="373" spans="1:9" x14ac:dyDescent="0.25">
      <c r="A373" s="12">
        <v>6</v>
      </c>
      <c r="B373" s="12" t="str">
        <f>Tableau4[[#This Row],[Séquence]]&amp;C372:C373</f>
        <v>650</v>
      </c>
      <c r="C373" s="12">
        <v>50</v>
      </c>
      <c r="D373" s="12">
        <v>7</v>
      </c>
      <c r="E373" s="12" t="s">
        <v>187</v>
      </c>
      <c r="F373" s="12" t="s">
        <v>39</v>
      </c>
      <c r="G373" s="12" t="s">
        <v>185</v>
      </c>
      <c r="H373" s="12" t="s">
        <v>17</v>
      </c>
      <c r="I373" s="12" t="str">
        <f>Tableau4[[#This Row],[Angle évalué]]&amp;"°"&amp;Tableau4[[#This Row],[Oreille]]</f>
        <v>45°D</v>
      </c>
    </row>
    <row r="374" spans="1:9" x14ac:dyDescent="0.25">
      <c r="A374" s="12">
        <v>6</v>
      </c>
      <c r="B374" s="12" t="str">
        <f>Tableau4[[#This Row],[Séquence]]&amp;C373:C374</f>
        <v>651</v>
      </c>
      <c r="C374" s="12">
        <v>51</v>
      </c>
      <c r="D374" s="12">
        <v>6</v>
      </c>
      <c r="E374" s="12" t="s">
        <v>188</v>
      </c>
      <c r="F374" s="12" t="s">
        <v>17</v>
      </c>
      <c r="G374" s="12" t="s">
        <v>189</v>
      </c>
      <c r="H374" s="12"/>
      <c r="I374" s="12" t="str">
        <f>Tableau4[[#This Row],[Angle évalué]]&amp;"°"&amp;Tableau4[[#This Row],[Oreille]]</f>
        <v>180°</v>
      </c>
    </row>
    <row r="375" spans="1:9" x14ac:dyDescent="0.25">
      <c r="A375" s="12">
        <v>6</v>
      </c>
      <c r="B375" s="12" t="str">
        <f>Tableau4[[#This Row],[Séquence]]&amp;C374:C375</f>
        <v>652</v>
      </c>
      <c r="C375" s="12">
        <v>52</v>
      </c>
      <c r="D375" s="12">
        <v>4</v>
      </c>
      <c r="E375" s="12" t="s">
        <v>187</v>
      </c>
      <c r="F375" s="12" t="s">
        <v>39</v>
      </c>
      <c r="G375" s="12" t="s">
        <v>189</v>
      </c>
      <c r="H375" s="12"/>
      <c r="I375" s="12" t="str">
        <f>Tableau4[[#This Row],[Angle évalué]]&amp;"°"&amp;Tableau4[[#This Row],[Oreille]]</f>
        <v>180°</v>
      </c>
    </row>
    <row r="376" spans="1:9" x14ac:dyDescent="0.25">
      <c r="A376" s="12">
        <v>6</v>
      </c>
      <c r="B376" s="12" t="str">
        <f>Tableau4[[#This Row],[Séquence]]&amp;C375:C376</f>
        <v>653</v>
      </c>
      <c r="C376" s="12">
        <v>53</v>
      </c>
      <c r="D376" s="12">
        <v>2</v>
      </c>
      <c r="E376" s="12" t="s">
        <v>184</v>
      </c>
      <c r="F376" s="12" t="s">
        <v>39</v>
      </c>
      <c r="G376" s="12" t="s">
        <v>186</v>
      </c>
      <c r="H376" s="12" t="s">
        <v>39</v>
      </c>
      <c r="I376" s="12" t="str">
        <f>Tableau4[[#This Row],[Angle évalué]]&amp;"°"&amp;Tableau4[[#This Row],[Oreille]]</f>
        <v>90°G</v>
      </c>
    </row>
    <row r="377" spans="1:9" x14ac:dyDescent="0.25">
      <c r="A377" s="12">
        <v>6</v>
      </c>
      <c r="B377" s="12" t="str">
        <f>Tableau4[[#This Row],[Séquence]]&amp;C376:C377</f>
        <v>654</v>
      </c>
      <c r="C377" s="12">
        <v>54</v>
      </c>
      <c r="D377" s="12">
        <v>1</v>
      </c>
      <c r="E377" s="12" t="s">
        <v>184</v>
      </c>
      <c r="F377" s="12" t="s">
        <v>17</v>
      </c>
      <c r="G377" s="12" t="s">
        <v>185</v>
      </c>
      <c r="H377" s="12" t="s">
        <v>17</v>
      </c>
      <c r="I377" s="12" t="str">
        <f>Tableau4[[#This Row],[Angle évalué]]&amp;"°"&amp;Tableau4[[#This Row],[Oreille]]</f>
        <v>45°D</v>
      </c>
    </row>
    <row r="378" spans="1:9" x14ac:dyDescent="0.25">
      <c r="A378" s="12">
        <v>6</v>
      </c>
      <c r="B378" s="12" t="str">
        <f>Tableau4[[#This Row],[Séquence]]&amp;C377:C378</f>
        <v>655</v>
      </c>
      <c r="C378" s="12">
        <v>55</v>
      </c>
      <c r="D378" s="12">
        <v>5</v>
      </c>
      <c r="E378" s="12" t="s">
        <v>191</v>
      </c>
      <c r="F378" s="12" t="s">
        <v>17</v>
      </c>
      <c r="G378" s="12" t="s">
        <v>190</v>
      </c>
      <c r="H378" s="12" t="s">
        <v>39</v>
      </c>
      <c r="I378" s="12" t="str">
        <f>Tableau4[[#This Row],[Angle évalué]]&amp;"°"&amp;Tableau4[[#This Row],[Oreille]]</f>
        <v>45arr°G</v>
      </c>
    </row>
    <row r="379" spans="1:9" x14ac:dyDescent="0.25">
      <c r="A379" s="12">
        <v>6</v>
      </c>
      <c r="B379" s="12" t="str">
        <f>Tableau4[[#This Row],[Séquence]]&amp;C378:C379</f>
        <v>656</v>
      </c>
      <c r="C379" s="12">
        <v>56</v>
      </c>
      <c r="D379" s="12">
        <v>3</v>
      </c>
      <c r="E379" s="12" t="s">
        <v>188</v>
      </c>
      <c r="F379" s="12" t="s">
        <v>39</v>
      </c>
      <c r="G379" s="12" t="s">
        <v>190</v>
      </c>
      <c r="H379" s="12" t="s">
        <v>39</v>
      </c>
      <c r="I379" s="12" t="str">
        <f>Tableau4[[#This Row],[Angle évalué]]&amp;"°"&amp;Tableau4[[#This Row],[Oreille]]</f>
        <v>45arr°G</v>
      </c>
    </row>
    <row r="380" spans="1:9" x14ac:dyDescent="0.25">
      <c r="A380" s="12">
        <v>6</v>
      </c>
      <c r="B380" s="12" t="str">
        <f>Tableau4[[#This Row],[Séquence]]&amp;C379:C380</f>
        <v>657</v>
      </c>
      <c r="C380" s="12">
        <v>57</v>
      </c>
      <c r="D380" s="12">
        <v>5</v>
      </c>
      <c r="E380" s="12" t="s">
        <v>191</v>
      </c>
      <c r="F380" s="12" t="s">
        <v>39</v>
      </c>
      <c r="G380" s="12" t="s">
        <v>190</v>
      </c>
      <c r="H380" s="12" t="s">
        <v>17</v>
      </c>
      <c r="I380" s="12" t="str">
        <f>Tableau4[[#This Row],[Angle évalué]]&amp;"°"&amp;Tableau4[[#This Row],[Oreille]]</f>
        <v>45arr°D</v>
      </c>
    </row>
    <row r="381" spans="1:9" x14ac:dyDescent="0.25">
      <c r="A381" s="12">
        <v>6</v>
      </c>
      <c r="B381" s="12" t="str">
        <f>Tableau4[[#This Row],[Séquence]]&amp;C380:C381</f>
        <v>658</v>
      </c>
      <c r="C381" s="12">
        <v>58</v>
      </c>
      <c r="D381" s="12">
        <v>1</v>
      </c>
      <c r="E381" s="12" t="s">
        <v>188</v>
      </c>
      <c r="F381" s="12" t="s">
        <v>17</v>
      </c>
      <c r="G381" s="12" t="s">
        <v>185</v>
      </c>
      <c r="H381" s="12" t="s">
        <v>17</v>
      </c>
      <c r="I381" s="12" t="str">
        <f>Tableau4[[#This Row],[Angle évalué]]&amp;"°"&amp;Tableau4[[#This Row],[Oreille]]</f>
        <v>45°D</v>
      </c>
    </row>
    <row r="382" spans="1:9" x14ac:dyDescent="0.25">
      <c r="A382" s="12">
        <v>6</v>
      </c>
      <c r="B382" s="12" t="str">
        <f>Tableau4[[#This Row],[Séquence]]&amp;C381:C382</f>
        <v>659</v>
      </c>
      <c r="C382" s="12">
        <v>59</v>
      </c>
      <c r="D382" s="12">
        <v>4</v>
      </c>
      <c r="E382" s="12" t="s">
        <v>187</v>
      </c>
      <c r="F382" s="12" t="s">
        <v>17</v>
      </c>
      <c r="G382" s="12" t="s">
        <v>186</v>
      </c>
      <c r="H382" s="12" t="s">
        <v>39</v>
      </c>
      <c r="I382" s="12" t="str">
        <f>Tableau4[[#This Row],[Angle évalué]]&amp;"°"&amp;Tableau4[[#This Row],[Oreille]]</f>
        <v>90°G</v>
      </c>
    </row>
    <row r="383" spans="1:9" x14ac:dyDescent="0.25">
      <c r="A383" s="12">
        <v>6</v>
      </c>
      <c r="B383" s="12" t="str">
        <f>Tableau4[[#This Row],[Séquence]]&amp;C382:C383</f>
        <v>660</v>
      </c>
      <c r="C383" s="12">
        <v>60</v>
      </c>
      <c r="D383" s="12">
        <v>7</v>
      </c>
      <c r="E383" s="12" t="s">
        <v>184</v>
      </c>
      <c r="F383" s="12" t="s">
        <v>17</v>
      </c>
      <c r="G383" s="12" t="s">
        <v>190</v>
      </c>
      <c r="H383" s="12" t="s">
        <v>17</v>
      </c>
      <c r="I383" s="12" t="str">
        <f>Tableau4[[#This Row],[Angle évalué]]&amp;"°"&amp;Tableau4[[#This Row],[Oreille]]</f>
        <v>45arr°D</v>
      </c>
    </row>
    <row r="384" spans="1:9" x14ac:dyDescent="0.25">
      <c r="A384" s="12">
        <v>6</v>
      </c>
      <c r="B384" s="12" t="str">
        <f>Tableau4[[#This Row],[Séquence]]&amp;C383:C384</f>
        <v>661</v>
      </c>
      <c r="C384" s="12">
        <v>61</v>
      </c>
      <c r="D384" s="12">
        <v>3</v>
      </c>
      <c r="E384" s="12" t="s">
        <v>188</v>
      </c>
      <c r="F384" s="12" t="s">
        <v>17</v>
      </c>
      <c r="G384" s="12" t="s">
        <v>185</v>
      </c>
      <c r="H384" s="12" t="s">
        <v>39</v>
      </c>
      <c r="I384" s="12" t="str">
        <f>Tableau4[[#This Row],[Angle évalué]]&amp;"°"&amp;Tableau4[[#This Row],[Oreille]]</f>
        <v>45°G</v>
      </c>
    </row>
    <row r="385" spans="1:9" x14ac:dyDescent="0.25">
      <c r="A385" s="12">
        <v>6</v>
      </c>
      <c r="B385" s="12" t="str">
        <f>Tableau4[[#This Row],[Séquence]]&amp;C384:C385</f>
        <v>662</v>
      </c>
      <c r="C385" s="12">
        <v>62</v>
      </c>
      <c r="D385" s="12">
        <v>7</v>
      </c>
      <c r="E385" s="12" t="s">
        <v>191</v>
      </c>
      <c r="F385" s="12" t="s">
        <v>39</v>
      </c>
      <c r="G385" s="12" t="s">
        <v>185</v>
      </c>
      <c r="H385" s="12" t="s">
        <v>17</v>
      </c>
      <c r="I385" s="12" t="str">
        <f>Tableau4[[#This Row],[Angle évalué]]&amp;"°"&amp;Tableau4[[#This Row],[Oreille]]</f>
        <v>45°D</v>
      </c>
    </row>
    <row r="386" spans="1:9" x14ac:dyDescent="0.25">
      <c r="A386" s="12">
        <v>6</v>
      </c>
      <c r="B386" s="12" t="str">
        <f>Tableau4[[#This Row],[Séquence]]&amp;C385:C386</f>
        <v>663</v>
      </c>
      <c r="C386" s="12">
        <v>63</v>
      </c>
      <c r="D386" s="12">
        <v>8</v>
      </c>
      <c r="E386" s="12" t="s">
        <v>188</v>
      </c>
      <c r="F386" s="12" t="s">
        <v>17</v>
      </c>
      <c r="G386" s="12" t="s">
        <v>186</v>
      </c>
      <c r="H386" s="12" t="s">
        <v>17</v>
      </c>
      <c r="I386" s="12" t="str">
        <f>Tableau4[[#This Row],[Angle évalué]]&amp;"°"&amp;Tableau4[[#This Row],[Oreille]]</f>
        <v>90°D</v>
      </c>
    </row>
    <row r="387" spans="1:9" x14ac:dyDescent="0.25">
      <c r="A387" s="12">
        <v>6</v>
      </c>
      <c r="B387" s="12" t="str">
        <f>Tableau4[[#This Row],[Séquence]]&amp;C386:C387</f>
        <v>664</v>
      </c>
      <c r="C387" s="12">
        <v>64</v>
      </c>
      <c r="D387" s="12">
        <v>6</v>
      </c>
      <c r="E387" s="12" t="s">
        <v>187</v>
      </c>
      <c r="F387" s="12" t="s">
        <v>39</v>
      </c>
      <c r="G387" s="12" t="s">
        <v>186</v>
      </c>
      <c r="H387" s="12" t="s">
        <v>17</v>
      </c>
      <c r="I387" s="12" t="str">
        <f>Tableau4[[#This Row],[Angle évalué]]&amp;"°"&amp;Tableau4[[#This Row],[Oreille]]</f>
        <v>90°D</v>
      </c>
    </row>
    <row r="388" spans="1:9" x14ac:dyDescent="0.25">
      <c r="A388" s="12"/>
      <c r="B388" s="120"/>
      <c r="C388" s="120"/>
      <c r="D388" s="120"/>
      <c r="E388" s="120"/>
      <c r="F388" s="120"/>
      <c r="G388" s="120"/>
      <c r="H388" s="120"/>
      <c r="I388" s="120"/>
    </row>
  </sheetData>
  <sheetProtection algorithmName="SHA-512" hashValue="swBibifYFKbH3jNgh9X+jsqJqTNEnkdGhycClkRBFXq2Xb9mDdf4TAoW6tRYh6zJSocmlMTdW2qTTygokOSbeQ==" saltValue="IXXjzFEKOqkRh5qJAuyAiA==" spinCount="100000" sheet="1" objects="1" scenarios="1"/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Normal="100" zoomScaleSheetLayoutView="70" workbookViewId="0">
      <selection activeCell="B26" sqref="B26:D27"/>
    </sheetView>
  </sheetViews>
  <sheetFormatPr baseColWidth="10" defaultColWidth="11.42578125" defaultRowHeight="15" x14ac:dyDescent="0.25"/>
  <cols>
    <col min="1" max="1" width="26.7109375" customWidth="1"/>
    <col min="2" max="2" width="11.28515625" customWidth="1"/>
    <col min="3" max="3" width="19.7109375" customWidth="1"/>
    <col min="4" max="4" width="20.28515625" customWidth="1"/>
    <col min="5" max="5" width="10.7109375" customWidth="1"/>
    <col min="6" max="6" width="19" customWidth="1"/>
    <col min="7" max="7" width="20.7109375" hidden="1" customWidth="1"/>
    <col min="8" max="8" width="18.5703125" hidden="1" customWidth="1"/>
    <col min="9" max="9" width="18.42578125" hidden="1" customWidth="1"/>
    <col min="10" max="10" width="15.5703125" hidden="1" customWidth="1"/>
    <col min="11" max="13" width="8.5703125" hidden="1" customWidth="1"/>
    <col min="14" max="14" width="11.5703125" hidden="1" customWidth="1"/>
    <col min="15" max="15" width="13.5703125" hidden="1" customWidth="1"/>
    <col min="16" max="16" width="13.28515625" hidden="1" customWidth="1"/>
    <col min="17" max="21" width="8.5703125" customWidth="1"/>
    <col min="22" max="25" width="8" customWidth="1"/>
  </cols>
  <sheetData>
    <row r="1" spans="1:6" ht="23.25" x14ac:dyDescent="0.35">
      <c r="A1" s="4" t="s">
        <v>1</v>
      </c>
    </row>
    <row r="3" spans="1:6" x14ac:dyDescent="0.25">
      <c r="A3" s="11" t="s">
        <v>2</v>
      </c>
      <c r="B3" s="161"/>
      <c r="C3" s="162"/>
      <c r="D3" s="61"/>
    </row>
    <row r="4" spans="1:6" x14ac:dyDescent="0.25">
      <c r="A4" s="11" t="s">
        <v>3</v>
      </c>
      <c r="B4" s="161"/>
      <c r="C4" s="162"/>
      <c r="D4" s="61"/>
    </row>
    <row r="5" spans="1:6" x14ac:dyDescent="0.25">
      <c r="A5" s="13" t="s">
        <v>4</v>
      </c>
      <c r="B5" s="161"/>
      <c r="C5" s="162"/>
      <c r="D5" s="61"/>
    </row>
    <row r="6" spans="1:6" ht="30" x14ac:dyDescent="0.25">
      <c r="A6" s="8" t="s">
        <v>5</v>
      </c>
      <c r="B6" s="163"/>
      <c r="C6" s="162"/>
      <c r="D6" s="61"/>
    </row>
    <row r="8" spans="1:6" ht="30" x14ac:dyDescent="0.25">
      <c r="A8" s="119" t="s">
        <v>217</v>
      </c>
      <c r="B8" s="10"/>
      <c r="C8" s="62"/>
    </row>
    <row r="10" spans="1:6" x14ac:dyDescent="0.25">
      <c r="A10" s="16" t="s">
        <v>199</v>
      </c>
    </row>
    <row r="11" spans="1:6" ht="30" x14ac:dyDescent="0.25">
      <c r="C11" s="51" t="s">
        <v>6</v>
      </c>
      <c r="D11" s="51" t="s">
        <v>7</v>
      </c>
      <c r="F11" s="90"/>
    </row>
    <row r="12" spans="1:6" x14ac:dyDescent="0.25">
      <c r="A12" s="6" t="s">
        <v>8</v>
      </c>
      <c r="B12" s="5" t="s">
        <v>9</v>
      </c>
      <c r="C12" s="63"/>
      <c r="D12" s="63"/>
      <c r="F12" s="91"/>
    </row>
    <row r="13" spans="1:6" x14ac:dyDescent="0.25">
      <c r="A13" s="7"/>
      <c r="B13" s="5" t="s">
        <v>10</v>
      </c>
      <c r="C13" s="63"/>
      <c r="D13" s="63"/>
      <c r="F13" s="91"/>
    </row>
    <row r="14" spans="1:6" x14ac:dyDescent="0.25">
      <c r="A14" s="6" t="s">
        <v>11</v>
      </c>
      <c r="B14" s="5" t="s">
        <v>12</v>
      </c>
      <c r="C14" s="63"/>
      <c r="D14" s="63"/>
      <c r="F14" s="91"/>
    </row>
    <row r="15" spans="1:6" x14ac:dyDescent="0.25">
      <c r="A15" s="7"/>
      <c r="B15" s="5" t="s">
        <v>13</v>
      </c>
      <c r="C15" s="63"/>
      <c r="D15" s="63"/>
      <c r="F15" s="91"/>
    </row>
    <row r="16" spans="1:6" x14ac:dyDescent="0.25">
      <c r="A16" s="7" t="s">
        <v>14</v>
      </c>
      <c r="B16" s="5" t="s">
        <v>15</v>
      </c>
      <c r="C16" s="63"/>
      <c r="D16" s="63"/>
      <c r="F16" s="91"/>
    </row>
    <row r="17" spans="1:16" x14ac:dyDescent="0.25">
      <c r="A17" s="5" t="s">
        <v>16</v>
      </c>
      <c r="B17" s="5" t="s">
        <v>17</v>
      </c>
      <c r="C17" s="63"/>
      <c r="D17" s="63"/>
      <c r="F17" s="91"/>
    </row>
    <row r="19" spans="1:16" ht="30" x14ac:dyDescent="0.25">
      <c r="A19" s="13" t="s">
        <v>18</v>
      </c>
      <c r="B19" s="10"/>
      <c r="C19" s="62"/>
    </row>
    <row r="21" spans="1:16" x14ac:dyDescent="0.25">
      <c r="A21" s="16" t="s">
        <v>19</v>
      </c>
    </row>
    <row r="22" spans="1:16" x14ac:dyDescent="0.25">
      <c r="A22" t="s">
        <v>20</v>
      </c>
    </row>
    <row r="23" spans="1:16" x14ac:dyDescent="0.25">
      <c r="A23" t="s">
        <v>21</v>
      </c>
    </row>
    <row r="24" spans="1:16" x14ac:dyDescent="0.25">
      <c r="A24" t="s">
        <v>22</v>
      </c>
    </row>
    <row r="25" spans="1:16" ht="30" x14ac:dyDescent="0.25">
      <c r="A25" s="76" t="s">
        <v>23</v>
      </c>
      <c r="B25" s="76" t="s">
        <v>24</v>
      </c>
      <c r="C25" s="76" t="s">
        <v>25</v>
      </c>
      <c r="D25" s="76" t="s">
        <v>26</v>
      </c>
      <c r="E25" s="76" t="s">
        <v>27</v>
      </c>
      <c r="G25" s="74" t="s">
        <v>28</v>
      </c>
      <c r="H25" s="74" t="s">
        <v>29</v>
      </c>
      <c r="I25" s="74" t="s">
        <v>30</v>
      </c>
      <c r="J25" s="74" t="s">
        <v>31</v>
      </c>
      <c r="K25" s="74" t="s">
        <v>32</v>
      </c>
      <c r="L25" s="74" t="s">
        <v>33</v>
      </c>
      <c r="M25" s="74" t="s">
        <v>34</v>
      </c>
      <c r="N25" s="74" t="s">
        <v>35</v>
      </c>
      <c r="O25" s="74" t="s">
        <v>36</v>
      </c>
      <c r="P25" s="75" t="s">
        <v>37</v>
      </c>
    </row>
    <row r="26" spans="1:16" x14ac:dyDescent="0.25">
      <c r="A26" s="12" t="s">
        <v>17</v>
      </c>
      <c r="B26" s="62"/>
      <c r="C26" s="62"/>
      <c r="D26" s="62"/>
      <c r="E26" s="26" t="str">
        <f>IFERROR(O26*P26-J26+VLOOKUP(D26,Calculs!$A$26:$B$29,2,FALSE),"")</f>
        <v/>
      </c>
      <c r="G26" s="12">
        <f>IF(A26="G",Calculs!$B$5,Calculs!$B$6)</f>
        <v>0</v>
      </c>
      <c r="H26" s="12">
        <f>IF(A26="G",Calculs!$C$5,Calculs!$C$6)</f>
        <v>0</v>
      </c>
      <c r="I26" s="26">
        <f>IF(A26="G",Calculs!$B$12,Calculs!$B$13)</f>
        <v>0</v>
      </c>
      <c r="J26" s="26" t="e">
        <f>IF(A26="G",-Calculs!$B$20,Calculs!$B$21)</f>
        <v>#DIV/0!</v>
      </c>
      <c r="K26" s="12">
        <f>IF(C26="Y",0,B26*Caractérisation!$C$19)</f>
        <v>0</v>
      </c>
      <c r="L26" s="12">
        <f>IF(C26="Y",B26*Caractérisation!$C$19,0)</f>
        <v>0</v>
      </c>
      <c r="M26" s="26">
        <f>SQRT((K26-Calculs!$B$8)^2+(L26^2))</f>
        <v>0</v>
      </c>
      <c r="N26" s="26">
        <f>SQRT((Calculs!$B$7-K26)^2+(L26-Calculs!$C$7)^2)</f>
        <v>0</v>
      </c>
      <c r="O26" s="26" t="e">
        <f>DEGREES(ACOS((Calculs!$B$16^2+N26^2-M26^2)/(2*Calculs!$B$16*N26)))</f>
        <v>#DIV/0!</v>
      </c>
      <c r="P26" s="29" t="str">
        <f>IF(Caractérisation!$C$8="Gauche",-1,IF(Caractérisation!$C$8="Droite",1,"Erreur"))</f>
        <v>Erreur</v>
      </c>
    </row>
    <row r="27" spans="1:16" x14ac:dyDescent="0.25">
      <c r="A27" s="12" t="s">
        <v>39</v>
      </c>
      <c r="B27" s="62"/>
      <c r="C27" s="62"/>
      <c r="D27" s="62"/>
      <c r="E27" s="26" t="str">
        <f>IFERROR(O27*P27-J27+VLOOKUP(D27,Calculs!$A$26:$B$29,2,FALSE),"")</f>
        <v/>
      </c>
      <c r="G27" s="12">
        <f>IF(A27="G",Calculs!$B$5,Calculs!$B$6)</f>
        <v>0</v>
      </c>
      <c r="H27" s="12">
        <f>IF(A27="G",Calculs!$C$5,Calculs!$C$6)</f>
        <v>0</v>
      </c>
      <c r="I27" s="26">
        <f>IF(A27="G",Calculs!$B$12,Calculs!$B$13)</f>
        <v>0</v>
      </c>
      <c r="J27" s="26" t="e">
        <f>IF(A27="G",-Calculs!$B$20,Calculs!$B$21)</f>
        <v>#DIV/0!</v>
      </c>
      <c r="K27" s="12">
        <f>IF(C27="Y",0,B27*Caractérisation!$C$19)</f>
        <v>0</v>
      </c>
      <c r="L27" s="12">
        <f>IF(C27="Y",B27*Caractérisation!$C$19,0)</f>
        <v>0</v>
      </c>
      <c r="M27" s="26">
        <f>SQRT((K27-Calculs!$B$8)^2+(L27^2))</f>
        <v>0</v>
      </c>
      <c r="N27" s="26">
        <f>SQRT((Calculs!$B$7-K27)^2+(L27-Calculs!$C$7)^2)</f>
        <v>0</v>
      </c>
      <c r="O27" s="26" t="e">
        <f>DEGREES(ACOS((Calculs!$B$16^2+N27^2-M27^2)/(2*Calculs!$B$16*N27)))</f>
        <v>#DIV/0!</v>
      </c>
      <c r="P27" s="29" t="str">
        <f>IF(Caractérisation!$C$8="Gauche",-1,IF(Caractérisation!$C$8="Droite",1,"Erreur"))</f>
        <v>Erreur</v>
      </c>
    </row>
    <row r="29" spans="1:16" x14ac:dyDescent="0.25">
      <c r="A29" s="16" t="s">
        <v>41</v>
      </c>
    </row>
    <row r="30" spans="1:16" ht="30" x14ac:dyDescent="0.25">
      <c r="A30" s="8" t="s">
        <v>42</v>
      </c>
      <c r="B30" s="78">
        <f>Calculs!B12</f>
        <v>0</v>
      </c>
    </row>
    <row r="31" spans="1:16" ht="30" x14ac:dyDescent="0.25">
      <c r="A31" s="8" t="s">
        <v>43</v>
      </c>
      <c r="B31" s="78">
        <f>Calculs!B13</f>
        <v>0</v>
      </c>
    </row>
    <row r="32" spans="1:16" ht="30" x14ac:dyDescent="0.25">
      <c r="A32" s="8" t="s">
        <v>44</v>
      </c>
      <c r="B32" s="78">
        <f>B31-B30</f>
        <v>0</v>
      </c>
    </row>
    <row r="33" spans="1:2" ht="30" x14ac:dyDescent="0.25">
      <c r="A33" s="8" t="s">
        <v>45</v>
      </c>
      <c r="B33" s="78" t="str">
        <f>IFERROR(Calculs!B20,"")</f>
        <v/>
      </c>
    </row>
    <row r="34" spans="1:2" ht="30" x14ac:dyDescent="0.25">
      <c r="A34" s="8" t="s">
        <v>46</v>
      </c>
      <c r="B34" s="78" t="str">
        <f>IFERROR(Calculs!B21,"")</f>
        <v/>
      </c>
    </row>
    <row r="35" spans="1:2" ht="30" x14ac:dyDescent="0.25">
      <c r="A35" s="8" t="s">
        <v>47</v>
      </c>
      <c r="B35" s="78" t="str">
        <f>IFERROR(Calculs!B20+Calculs!B21,"")</f>
        <v/>
      </c>
    </row>
  </sheetData>
  <sheetProtection algorithmName="SHA-512" hashValue="G/EGMPFJwBoQ0pZGrlKkMsnY4bp0n5rD9xBnNv9OnmaZq3F7V99KU9pOJS2RW4w1nodWEs2szXm/Q80ZZJEzXg==" saltValue="3IRBrmd3vDj2YV8DlB9HmQ==" spinCount="100000" sheet="1" sort="0" autoFilter="0"/>
  <protectedRanges>
    <protectedRange sqref="B3:D6 C8 C12:D17 C19 B26:D27" name="Caractérisation"/>
  </protectedRanges>
  <dataValidations count="3">
    <dataValidation type="list" allowBlank="1" showInputMessage="1" showErrorMessage="1" sqref="C8">
      <formula1>"Gauche,Droite"</formula1>
    </dataValidation>
    <dataValidation type="list" allowBlank="1" showInputMessage="1" showErrorMessage="1" sqref="C26:C27">
      <formula1>"X,Y"</formula1>
    </dataValidation>
    <dataValidation type="list" allowBlank="1" showInputMessage="1" showErrorMessage="1" sqref="D26:D27">
      <formula1>"N,E,S,O"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Normal="100" zoomScaleSheetLayoutView="100" workbookViewId="0">
      <selection activeCell="B6" sqref="B6:B7"/>
    </sheetView>
  </sheetViews>
  <sheetFormatPr baseColWidth="10" defaultColWidth="11.42578125" defaultRowHeight="15" x14ac:dyDescent="0.25"/>
  <cols>
    <col min="1" max="1" width="31" customWidth="1"/>
    <col min="2" max="2" width="27.7109375" customWidth="1"/>
  </cols>
  <sheetData>
    <row r="1" spans="1:4" ht="23.25" x14ac:dyDescent="0.35">
      <c r="A1" s="4" t="s">
        <v>48</v>
      </c>
    </row>
    <row r="3" spans="1:4" x14ac:dyDescent="0.25">
      <c r="A3" s="11" t="s">
        <v>49</v>
      </c>
      <c r="B3" s="64"/>
    </row>
    <row r="4" spans="1:4" ht="30" x14ac:dyDescent="0.25">
      <c r="A4" s="13" t="s">
        <v>50</v>
      </c>
      <c r="B4" s="65"/>
    </row>
    <row r="5" spans="1:4" x14ac:dyDescent="0.25">
      <c r="A5" s="13" t="s">
        <v>51</v>
      </c>
      <c r="B5" s="37" t="str">
        <f ca="1">IF(B4="","",ROUNDDOWN((TODAY()-B4)/364.25,0))</f>
        <v/>
      </c>
    </row>
    <row r="6" spans="1:4" x14ac:dyDescent="0.25">
      <c r="A6" s="5" t="s">
        <v>52</v>
      </c>
      <c r="B6" s="66"/>
    </row>
    <row r="7" spans="1:4" x14ac:dyDescent="0.25">
      <c r="A7" s="5" t="s">
        <v>53</v>
      </c>
      <c r="B7" s="65"/>
    </row>
    <row r="8" spans="1:4" x14ac:dyDescent="0.25">
      <c r="A8" s="16"/>
    </row>
    <row r="9" spans="1:4" ht="58.15" customHeight="1" x14ac:dyDescent="0.25">
      <c r="A9" s="149" t="s">
        <v>54</v>
      </c>
      <c r="B9" s="160"/>
    </row>
    <row r="10" spans="1:4" x14ac:dyDescent="0.25">
      <c r="A10" s="16"/>
    </row>
    <row r="11" spans="1:4" x14ac:dyDescent="0.25">
      <c r="A11" s="8" t="s">
        <v>55</v>
      </c>
      <c r="B11" s="67"/>
    </row>
    <row r="13" spans="1:4" ht="30" x14ac:dyDescent="0.4">
      <c r="A13" s="148" t="s">
        <v>201</v>
      </c>
      <c r="B13" s="17">
        <v>10</v>
      </c>
      <c r="D13" s="121"/>
    </row>
    <row r="14" spans="1:4" x14ac:dyDescent="0.25">
      <c r="A14" s="139" t="s">
        <v>200</v>
      </c>
    </row>
  </sheetData>
  <sheetProtection algorithmName="SHA-512" hashValue="eUy4oHuWdX+eCXi7/NDJ7hElFQSYWwLkU4P2cx8nVKh4WIDG0HCWmAP+SugB97pl6bMB5q9elfDyZu4p2I3mvw==" saltValue="7fAn0sfJJKZJY1th3AuQ2g==" spinCount="100000" sheet="1" objects="1" scenarios="1"/>
  <protectedRanges>
    <protectedRange sqref="B3:B4 B6:B7 B9 B11" name="Identification"/>
  </protectedRanges>
  <dataValidations count="1">
    <dataValidation type="list" allowBlank="1" showInputMessage="1" showErrorMessage="1" sqref="B11">
      <formula1>"1,2,3,4,5,6"</formula1>
    </dataValidation>
  </dataValidations>
  <pageMargins left="0.7" right="0.7" top="0.75" bottom="0.75" header="0.3" footer="0.3"/>
  <pageSetup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2"/>
  <sheetViews>
    <sheetView showGridLines="0" zoomScaleNormal="100" zoomScaleSheetLayoutView="85" workbookViewId="0">
      <pane ySplit="8" topLeftCell="A9" activePane="bottomLeft" state="frozen"/>
      <selection pane="bottomLeft" activeCell="N9" sqref="N9:P72"/>
    </sheetView>
  </sheetViews>
  <sheetFormatPr baseColWidth="10" defaultColWidth="11.42578125" defaultRowHeight="15" x14ac:dyDescent="0.25"/>
  <cols>
    <col min="1" max="1" width="6.7109375" customWidth="1"/>
    <col min="2" max="2" width="6.7109375" hidden="1" customWidth="1"/>
    <col min="3" max="3" width="6.7109375" customWidth="1"/>
    <col min="4" max="4" width="8.7109375" customWidth="1"/>
    <col min="5" max="6" width="8.7109375" hidden="1" customWidth="1"/>
    <col min="7" max="7" width="10.28515625" customWidth="1"/>
    <col min="8" max="8" width="10.5703125" customWidth="1"/>
    <col min="10" max="13" width="13.28515625" hidden="1" customWidth="1"/>
    <col min="14" max="16" width="16" customWidth="1"/>
    <col min="17" max="17" width="10.7109375" hidden="1" customWidth="1"/>
    <col min="18" max="18" width="10.28515625" hidden="1" customWidth="1"/>
    <col min="19" max="20" width="16" hidden="1" customWidth="1"/>
    <col min="21" max="23" width="11.7109375" hidden="1" customWidth="1"/>
    <col min="24" max="24" width="12.5703125" customWidth="1"/>
    <col min="25" max="27" width="12.5703125" hidden="1" customWidth="1"/>
    <col min="28" max="28" width="20.7109375" customWidth="1"/>
    <col min="29" max="32" width="9.28515625" customWidth="1"/>
    <col min="33" max="33" width="33.7109375" customWidth="1"/>
  </cols>
  <sheetData>
    <row r="1" spans="1:33" ht="23.25" x14ac:dyDescent="0.35">
      <c r="A1" s="4" t="s">
        <v>56</v>
      </c>
      <c r="B1" s="4"/>
      <c r="C1" s="4"/>
      <c r="D1" s="4"/>
      <c r="E1" s="4"/>
      <c r="F1" s="4"/>
      <c r="G1" s="4"/>
      <c r="H1" s="4"/>
      <c r="I1" s="4"/>
    </row>
    <row r="2" spans="1:33" x14ac:dyDescent="0.25">
      <c r="A2" t="str">
        <f>"Nom de l'usager : "&amp;Identification!B3</f>
        <v xml:space="preserve">Nom de l'usager : </v>
      </c>
      <c r="AD2" s="84"/>
    </row>
    <row r="3" spans="1:33" x14ac:dyDescent="0.25">
      <c r="A3" t="str">
        <f>"Date du test : "&amp;YEAR(Identification!B7)&amp;"-"&amp;TEXT(MONTH(Identification!B7),"00")&amp;"-"&amp;TEXT(DAY(Identification!B7),"00")</f>
        <v>Date du test : 1900-01-00</v>
      </c>
    </row>
    <row r="4" spans="1:33" x14ac:dyDescent="0.25">
      <c r="A4" t="str">
        <f>"No. De la séquence de test : "&amp; Identification!B11</f>
        <v xml:space="preserve">No. De la séquence de test : </v>
      </c>
    </row>
    <row r="5" spans="1:33" x14ac:dyDescent="0.25">
      <c r="A5" t="str">
        <f>"Donnée normative : "&amp;Identification!B13&amp;" degrés"</f>
        <v>Donnée normative : 10 degrés</v>
      </c>
    </row>
    <row r="6" spans="1:33" x14ac:dyDescent="0.25">
      <c r="AE6" s="73"/>
      <c r="AF6" s="73"/>
    </row>
    <row r="7" spans="1:33" s="42" customFormat="1" x14ac:dyDescent="0.25">
      <c r="A7" s="39" t="s">
        <v>57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39" t="s">
        <v>58</v>
      </c>
      <c r="O7" s="40"/>
      <c r="P7" s="40"/>
      <c r="Q7" s="41"/>
      <c r="R7" s="41"/>
      <c r="S7" s="41"/>
      <c r="T7" s="41"/>
      <c r="U7" s="41"/>
      <c r="V7" s="41"/>
      <c r="W7" s="41"/>
      <c r="X7" s="39" t="s">
        <v>59</v>
      </c>
      <c r="Y7" s="40"/>
      <c r="Z7" s="40"/>
      <c r="AA7" s="40"/>
      <c r="AB7" s="40"/>
      <c r="AC7" s="39" t="s">
        <v>60</v>
      </c>
      <c r="AD7" s="40"/>
      <c r="AE7" s="41"/>
      <c r="AF7" s="72"/>
    </row>
    <row r="8" spans="1:33" s="25" customFormat="1" ht="60" x14ac:dyDescent="0.25">
      <c r="A8" s="24" t="s">
        <v>61</v>
      </c>
      <c r="B8" s="49" t="s">
        <v>62</v>
      </c>
      <c r="C8" s="21" t="s">
        <v>63</v>
      </c>
      <c r="D8" s="21" t="s">
        <v>64</v>
      </c>
      <c r="E8" s="54" t="s">
        <v>65</v>
      </c>
      <c r="F8" s="54" t="s">
        <v>66</v>
      </c>
      <c r="G8" s="21" t="s">
        <v>23</v>
      </c>
      <c r="H8" s="21" t="s">
        <v>67</v>
      </c>
      <c r="I8" s="21" t="s">
        <v>68</v>
      </c>
      <c r="J8" s="43" t="s">
        <v>28</v>
      </c>
      <c r="K8" s="43" t="s">
        <v>29</v>
      </c>
      <c r="L8" s="43" t="s">
        <v>30</v>
      </c>
      <c r="M8" s="43" t="s">
        <v>31</v>
      </c>
      <c r="N8" s="38" t="s">
        <v>69</v>
      </c>
      <c r="O8" s="38" t="s">
        <v>70</v>
      </c>
      <c r="P8" s="38" t="s">
        <v>71</v>
      </c>
      <c r="Q8" s="43" t="s">
        <v>32</v>
      </c>
      <c r="R8" s="43" t="s">
        <v>33</v>
      </c>
      <c r="S8" s="43" t="s">
        <v>34</v>
      </c>
      <c r="T8" s="43" t="s">
        <v>35</v>
      </c>
      <c r="U8" s="43" t="s">
        <v>36</v>
      </c>
      <c r="V8" s="44" t="s">
        <v>37</v>
      </c>
      <c r="W8" s="44" t="s">
        <v>72</v>
      </c>
      <c r="X8" s="22" t="s">
        <v>73</v>
      </c>
      <c r="Y8" s="44" t="s">
        <v>196</v>
      </c>
      <c r="Z8" s="44" t="s">
        <v>197</v>
      </c>
      <c r="AA8" s="44" t="s">
        <v>198</v>
      </c>
      <c r="AB8" s="22" t="s">
        <v>74</v>
      </c>
      <c r="AC8" s="22" t="s">
        <v>75</v>
      </c>
      <c r="AD8" s="22" t="s">
        <v>76</v>
      </c>
      <c r="AE8" s="22" t="s">
        <v>77</v>
      </c>
      <c r="AF8" s="22" t="s">
        <v>78</v>
      </c>
      <c r="AG8" s="38" t="s">
        <v>79</v>
      </c>
    </row>
    <row r="9" spans="1:33" x14ac:dyDescent="0.25">
      <c r="A9" s="18">
        <v>1</v>
      </c>
      <c r="B9" s="18" t="str">
        <f>Identification!$B$11&amp;'Entrée de données'!A9</f>
        <v>1</v>
      </c>
      <c r="C9" s="12" t="str">
        <f>IF(Identification!$B$11="","",VLOOKUP(Tableau2[[#This Row],[*No unique]],Tableau4[[No unique]:[Oreille]],3,FALSE))</f>
        <v/>
      </c>
      <c r="D9" s="12" t="str">
        <f>IF(Identification!$B$11="","",VLOOKUP(Tableau2[[#This Row],[*No unique]],Tableau4[[No unique]:[Oreille]],4,FALSE))</f>
        <v/>
      </c>
      <c r="E9" s="12" t="str">
        <f t="shared" ref="E9:E40" si="0">LEFT(D9,2)</f>
        <v/>
      </c>
      <c r="F9" s="12" t="str">
        <f t="shared" ref="F9:F40" si="1">RIGHT(D9,1)</f>
        <v/>
      </c>
      <c r="G9" s="12" t="str">
        <f>IF(Identification!$B$11="","",VLOOKUP(Tableau2[[#This Row],[*No unique]],Tableau4[[No unique]:[Oreille]],5,FALSE))</f>
        <v/>
      </c>
      <c r="H9" s="12" t="str">
        <f>IF(Identification!$B$11="","",VLOOKUP(Tableau2[[#This Row],[*No unique]],Tableau4[[No unique]:[Angle et oreille]],8,FALSE))</f>
        <v/>
      </c>
      <c r="I9" s="12" t="str">
        <f>IF(Identification!$B$11="","",VLOOKUP(Tableau2[[#This Row],[*No unique]],Tableau4[[No unique]:[Oreille]],7,FALSE))</f>
        <v/>
      </c>
      <c r="J9" s="12">
        <f>IF(G9="G",Calculs!$B$5,Calculs!$B$6)</f>
        <v>0</v>
      </c>
      <c r="K9" s="12">
        <f>IF(G9="G",Calculs!$C$5,Calculs!$C$6)</f>
        <v>0</v>
      </c>
      <c r="L9" s="26">
        <f>IF(Tableau2[[#This Row],[HP émetteur]]="G",Calculs!$B$12,Calculs!$B$13)</f>
        <v>0</v>
      </c>
      <c r="M9" s="26" t="e">
        <f>IF(Tableau2[[#This Row],[HP émetteur]]="G",-Calculs!$B$20,Calculs!$B$21)</f>
        <v>#DIV/0!</v>
      </c>
      <c r="N9" s="12"/>
      <c r="O9" s="12"/>
      <c r="P9" s="12"/>
      <c r="Q9" s="12">
        <f>IF(O9="Y",0,N9*Caractérisation!$C$19)</f>
        <v>0</v>
      </c>
      <c r="R9" s="12">
        <f>IF(O9="Y",N9*Caractérisation!$C$19,0)</f>
        <v>0</v>
      </c>
      <c r="S9" s="26">
        <f>SQRT((Tableau2[[#This Row],[*Px]]-Calculs!$B$8)^2+(Tableau2[[#This Row],[*Py]]^2))</f>
        <v>0</v>
      </c>
      <c r="T9" s="26">
        <f>SQRT((Calculs!$B$7-Tableau2[[#This Row],[*Px]])^2+(Tableau2[[#This Row],[*Py]]-Calculs!$C$7)^2)</f>
        <v>0</v>
      </c>
      <c r="U9" s="26" t="e">
        <f>DEGREES(ACOS((Calculs!$B$16^2+Tableau2[[#This Row],[*Dist C_P]]^2-Tableau2[[#This Row],[*Dist Cy0_P]]^2)/(2*Calculs!$B$16*Tableau2[[#This Row],[*Dist C_P]])))</f>
        <v>#DIV/0!</v>
      </c>
      <c r="V9" s="29" t="str">
        <f>IF(Caractérisation!$C$8="Gauche",-1,IF(Caractérisation!$C$8="Droite",1,"Erreur"))</f>
        <v>Erreur</v>
      </c>
      <c r="W9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9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9" s="26" t="str">
        <f>IF(Tableau2[[#This Row],[Erreur - Conf Av/Arr]]=0,Tableau2[[#This Row],[Réponse angulaire (degrés)]],"")</f>
        <v/>
      </c>
      <c r="Z9" s="26" t="str">
        <f>IFERROR(ABS(Tableau2[[#This Row],[Réponse angulaire (degrés)]]),"")</f>
        <v/>
      </c>
      <c r="AA9" s="26" t="str">
        <f t="shared" ref="AA9:AA40" si="2">IF(AE9=0,Z9,"")</f>
        <v/>
      </c>
      <c r="AB9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9" s="29" t="str">
        <f>IFERROR(IF(ABS(Tableau2[[#This Row],[Réponse angulaire (degrés)]])&lt;=Identification!$B$13,1,0),"")</f>
        <v/>
      </c>
      <c r="AD9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9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9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9" s="68"/>
    </row>
    <row r="10" spans="1:33" x14ac:dyDescent="0.25">
      <c r="A10" s="18">
        <v>2</v>
      </c>
      <c r="B10" s="18" t="str">
        <f>Identification!$B$11&amp;'Entrée de données'!A10</f>
        <v>2</v>
      </c>
      <c r="C10" s="12" t="str">
        <f>IF(Identification!$B$11="","",VLOOKUP(Tableau2[[#This Row],[*No unique]],Tableau4[[No unique]:[Oreille]],3,FALSE))</f>
        <v/>
      </c>
      <c r="D10" s="12" t="str">
        <f>IF(Identification!$B$11="","",VLOOKUP(Tableau2[[#This Row],[*No unique]],Tableau4[[No unique]:[Oreille]],4,FALSE))</f>
        <v/>
      </c>
      <c r="E10" s="12" t="str">
        <f t="shared" si="0"/>
        <v/>
      </c>
      <c r="F10" s="12" t="str">
        <f t="shared" si="1"/>
        <v/>
      </c>
      <c r="G10" s="12" t="str">
        <f>IF(Identification!$B$11="","",VLOOKUP(Tableau2[[#This Row],[*No unique]],Tableau4[[No unique]:[Oreille]],5,FALSE))</f>
        <v/>
      </c>
      <c r="H10" s="12" t="str">
        <f>IF(Identification!$B$11="","",VLOOKUP(Tableau2[[#This Row],[*No unique]],Tableau4[[No unique]:[Angle et oreille]],8,FALSE))</f>
        <v/>
      </c>
      <c r="I10" s="12" t="str">
        <f>IF(Identification!$B$11="","",VLOOKUP(Tableau2[[#This Row],[*No unique]],Tableau4[[No unique]:[Oreille]],7,FALSE))</f>
        <v/>
      </c>
      <c r="J10" s="12">
        <f>IF(G10="G",Calculs!$B$5,Calculs!$B$6)</f>
        <v>0</v>
      </c>
      <c r="K10" s="12">
        <f>IF(G10="G",Calculs!$C$5,Calculs!$C$6)</f>
        <v>0</v>
      </c>
      <c r="L10" s="26">
        <f>IF(Tableau2[[#This Row],[HP émetteur]]="G",Calculs!$B$12,Calculs!$B$13)</f>
        <v>0</v>
      </c>
      <c r="M10" s="26" t="e">
        <f>IF(Tableau2[[#This Row],[HP émetteur]]="G",-Calculs!$B$20,Calculs!$B$21)</f>
        <v>#DIV/0!</v>
      </c>
      <c r="N10" s="12"/>
      <c r="O10" s="12"/>
      <c r="P10" s="12"/>
      <c r="Q10" s="12">
        <f>IF(O10="Y",0,N10*Caractérisation!$C$19)</f>
        <v>0</v>
      </c>
      <c r="R10" s="12">
        <f>IF(O10="Y",N10*Caractérisation!$C$19,0)</f>
        <v>0</v>
      </c>
      <c r="S10" s="26">
        <f>SQRT((Tableau2[[#This Row],[*Px]]-Calculs!$B$8)^2+(Tableau2[[#This Row],[*Py]]^2))</f>
        <v>0</v>
      </c>
      <c r="T10" s="26">
        <f>SQRT((Calculs!$B$7-Tableau2[[#This Row],[*Px]])^2+(Tableau2[[#This Row],[*Py]]-Calculs!$C$7)^2)</f>
        <v>0</v>
      </c>
      <c r="U10" s="26" t="e">
        <f>DEGREES(ACOS((Calculs!$B$16^2+Tableau2[[#This Row],[*Dist C_P]]^2-Tableau2[[#This Row],[*Dist Cy0_P]]^2)/(2*Calculs!$B$16*Tableau2[[#This Row],[*Dist C_P]])))</f>
        <v>#DIV/0!</v>
      </c>
      <c r="V10" s="29" t="str">
        <f>IF(Caractérisation!$C$8="Gauche",-1,IF(Caractérisation!$C$8="Droite",1,"Erreur"))</f>
        <v>Erreur</v>
      </c>
      <c r="W10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10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10" s="26" t="str">
        <f>IF(Tableau2[[#This Row],[Erreur - Conf Av/Arr]]=0,Tableau2[[#This Row],[Réponse angulaire (degrés)]],"")</f>
        <v/>
      </c>
      <c r="Z10" s="26" t="str">
        <f>IFERROR(ABS(Tableau2[[#This Row],[Réponse angulaire (degrés)]]),"")</f>
        <v/>
      </c>
      <c r="AA10" s="26" t="str">
        <f t="shared" si="2"/>
        <v/>
      </c>
      <c r="AB10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10" s="29" t="str">
        <f>IFERROR(IF(ABS(Tableau2[[#This Row],[Réponse angulaire (degrés)]])&lt;=Identification!$B$13,1,0),"")</f>
        <v/>
      </c>
      <c r="AD10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10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10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10" s="68"/>
    </row>
    <row r="11" spans="1:33" x14ac:dyDescent="0.25">
      <c r="A11" s="18">
        <v>3</v>
      </c>
      <c r="B11" s="18" t="str">
        <f>Identification!$B$11&amp;'Entrée de données'!A11</f>
        <v>3</v>
      </c>
      <c r="C11" s="12" t="str">
        <f>IF(Identification!$B$11="","",VLOOKUP(Tableau2[[#This Row],[*No unique]],Tableau4[[No unique]:[Oreille]],3,FALSE))</f>
        <v/>
      </c>
      <c r="D11" s="12" t="str">
        <f>IF(Identification!$B$11="","",VLOOKUP(Tableau2[[#This Row],[*No unique]],Tableau4[[No unique]:[Oreille]],4,FALSE))</f>
        <v/>
      </c>
      <c r="E11" s="12" t="str">
        <f t="shared" si="0"/>
        <v/>
      </c>
      <c r="F11" s="12" t="str">
        <f t="shared" si="1"/>
        <v/>
      </c>
      <c r="G11" s="12" t="str">
        <f>IF(Identification!$B$11="","",VLOOKUP(Tableau2[[#This Row],[*No unique]],Tableau4[[No unique]:[Oreille]],5,FALSE))</f>
        <v/>
      </c>
      <c r="H11" s="12" t="str">
        <f>IF(Identification!$B$11="","",VLOOKUP(Tableau2[[#This Row],[*No unique]],Tableau4[[No unique]:[Angle et oreille]],8,FALSE))</f>
        <v/>
      </c>
      <c r="I11" s="12" t="str">
        <f>IF(Identification!$B$11="","",VLOOKUP(Tableau2[[#This Row],[*No unique]],Tableau4[[No unique]:[Oreille]],7,FALSE))</f>
        <v/>
      </c>
      <c r="J11" s="12">
        <f>IF(G11="G",Calculs!$B$5,Calculs!$B$6)</f>
        <v>0</v>
      </c>
      <c r="K11" s="12">
        <f>IF(G11="G",Calculs!$C$5,Calculs!$C$6)</f>
        <v>0</v>
      </c>
      <c r="L11" s="26">
        <f>IF(Tableau2[[#This Row],[HP émetteur]]="G",Calculs!$B$12,Calculs!$B$13)</f>
        <v>0</v>
      </c>
      <c r="M11" s="26" t="e">
        <f>IF(Tableau2[[#This Row],[HP émetteur]]="G",-Calculs!$B$20,Calculs!$B$21)</f>
        <v>#DIV/0!</v>
      </c>
      <c r="N11" s="12"/>
      <c r="O11" s="12"/>
      <c r="P11" s="12"/>
      <c r="Q11" s="12">
        <f>IF(O11="Y",0,N11*Caractérisation!$C$19)</f>
        <v>0</v>
      </c>
      <c r="R11" s="12">
        <f>IF(O11="Y",N11*Caractérisation!$C$19,0)</f>
        <v>0</v>
      </c>
      <c r="S11" s="26">
        <f>SQRT((Tableau2[[#This Row],[*Px]]-Calculs!$B$8)^2+(Tableau2[[#This Row],[*Py]]^2))</f>
        <v>0</v>
      </c>
      <c r="T11" s="26">
        <f>SQRT((Calculs!$B$7-Tableau2[[#This Row],[*Px]])^2+(Tableau2[[#This Row],[*Py]]-Calculs!$C$7)^2)</f>
        <v>0</v>
      </c>
      <c r="U11" s="26" t="e">
        <f>DEGREES(ACOS((Calculs!$B$16^2+Tableau2[[#This Row],[*Dist C_P]]^2-Tableau2[[#This Row],[*Dist Cy0_P]]^2)/(2*Calculs!$B$16*Tableau2[[#This Row],[*Dist C_P]])))</f>
        <v>#DIV/0!</v>
      </c>
      <c r="V11" s="29" t="str">
        <f>IF(Caractérisation!$C$8="Gauche",-1,IF(Caractérisation!$C$8="Droite",1,"Erreur"))</f>
        <v>Erreur</v>
      </c>
      <c r="W11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11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11" s="26" t="str">
        <f>IF(Tableau2[[#This Row],[Erreur - Conf Av/Arr]]=0,Tableau2[[#This Row],[Réponse angulaire (degrés)]],"")</f>
        <v/>
      </c>
      <c r="Z11" s="26" t="str">
        <f>IFERROR(ABS(Tableau2[[#This Row],[Réponse angulaire (degrés)]]),"")</f>
        <v/>
      </c>
      <c r="AA11" s="26" t="str">
        <f t="shared" si="2"/>
        <v/>
      </c>
      <c r="AB11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11" s="29" t="str">
        <f>IFERROR(IF(ABS(Tableau2[[#This Row],[Réponse angulaire (degrés)]])&lt;=Identification!$B$13,1,0),"")</f>
        <v/>
      </c>
      <c r="AD11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11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11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11" s="68"/>
    </row>
    <row r="12" spans="1:33" x14ac:dyDescent="0.25">
      <c r="A12" s="18">
        <v>4</v>
      </c>
      <c r="B12" s="18" t="str">
        <f>Identification!$B$11&amp;'Entrée de données'!A12</f>
        <v>4</v>
      </c>
      <c r="C12" s="12" t="str">
        <f>IF(Identification!$B$11="","",VLOOKUP(Tableau2[[#This Row],[*No unique]],Tableau4[[No unique]:[Oreille]],3,FALSE))</f>
        <v/>
      </c>
      <c r="D12" s="12" t="str">
        <f>IF(Identification!$B$11="","",VLOOKUP(Tableau2[[#This Row],[*No unique]],Tableau4[[No unique]:[Oreille]],4,FALSE))</f>
        <v/>
      </c>
      <c r="E12" s="12" t="str">
        <f t="shared" si="0"/>
        <v/>
      </c>
      <c r="F12" s="12" t="str">
        <f t="shared" si="1"/>
        <v/>
      </c>
      <c r="G12" s="12" t="str">
        <f>IF(Identification!$B$11="","",VLOOKUP(Tableau2[[#This Row],[*No unique]],Tableau4[[No unique]:[Oreille]],5,FALSE))</f>
        <v/>
      </c>
      <c r="H12" s="12" t="str">
        <f>IF(Identification!$B$11="","",VLOOKUP(Tableau2[[#This Row],[*No unique]],Tableau4[[No unique]:[Angle et oreille]],8,FALSE))</f>
        <v/>
      </c>
      <c r="I12" s="12" t="str">
        <f>IF(Identification!$B$11="","",VLOOKUP(Tableau2[[#This Row],[*No unique]],Tableau4[[No unique]:[Oreille]],7,FALSE))</f>
        <v/>
      </c>
      <c r="J12" s="12">
        <f>IF(G12="G",Calculs!$B$5,Calculs!$B$6)</f>
        <v>0</v>
      </c>
      <c r="K12" s="12">
        <f>IF(G12="G",Calculs!$C$5,Calculs!$C$6)</f>
        <v>0</v>
      </c>
      <c r="L12" s="26">
        <f>IF(Tableau2[[#This Row],[HP émetteur]]="G",Calculs!$B$12,Calculs!$B$13)</f>
        <v>0</v>
      </c>
      <c r="M12" s="26" t="e">
        <f>IF(Tableau2[[#This Row],[HP émetteur]]="G",-Calculs!$B$20,Calculs!$B$21)</f>
        <v>#DIV/0!</v>
      </c>
      <c r="N12" s="12"/>
      <c r="O12" s="12"/>
      <c r="P12" s="12"/>
      <c r="Q12" s="12">
        <f>IF(O12="Y",0,N12*Caractérisation!$C$19)</f>
        <v>0</v>
      </c>
      <c r="R12" s="12">
        <f>IF(O12="Y",N12*Caractérisation!$C$19,0)</f>
        <v>0</v>
      </c>
      <c r="S12" s="26">
        <f>SQRT((Tableau2[[#This Row],[*Px]]-Calculs!$B$8)^2+(Tableau2[[#This Row],[*Py]]^2))</f>
        <v>0</v>
      </c>
      <c r="T12" s="26">
        <f>SQRT((Calculs!$B$7-Tableau2[[#This Row],[*Px]])^2+(Tableau2[[#This Row],[*Py]]-Calculs!$C$7)^2)</f>
        <v>0</v>
      </c>
      <c r="U12" s="26" t="e">
        <f>DEGREES(ACOS((Calculs!$B$16^2+Tableau2[[#This Row],[*Dist C_P]]^2-Tableau2[[#This Row],[*Dist Cy0_P]]^2)/(2*Calculs!$B$16*Tableau2[[#This Row],[*Dist C_P]])))</f>
        <v>#DIV/0!</v>
      </c>
      <c r="V12" s="29" t="str">
        <f>IF(Caractérisation!$C$8="Gauche",-1,IF(Caractérisation!$C$8="Droite",1,"Erreur"))</f>
        <v>Erreur</v>
      </c>
      <c r="W12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12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12" s="26" t="str">
        <f>IF(Tableau2[[#This Row],[Erreur - Conf Av/Arr]]=0,Tableau2[[#This Row],[Réponse angulaire (degrés)]],"")</f>
        <v/>
      </c>
      <c r="Z12" s="26" t="str">
        <f>IFERROR(ABS(Tableau2[[#This Row],[Réponse angulaire (degrés)]]),"")</f>
        <v/>
      </c>
      <c r="AA12" s="26" t="str">
        <f t="shared" si="2"/>
        <v/>
      </c>
      <c r="AB12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12" s="29" t="str">
        <f>IFERROR(IF(ABS(Tableau2[[#This Row],[Réponse angulaire (degrés)]])&lt;=Identification!$B$13,1,0),"")</f>
        <v/>
      </c>
      <c r="AD12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12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12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12" s="68"/>
    </row>
    <row r="13" spans="1:33" x14ac:dyDescent="0.25">
      <c r="A13" s="18">
        <v>5</v>
      </c>
      <c r="B13" s="18" t="str">
        <f>Identification!$B$11&amp;'Entrée de données'!A13</f>
        <v>5</v>
      </c>
      <c r="C13" s="12" t="str">
        <f>IF(Identification!$B$11="","",VLOOKUP(Tableau2[[#This Row],[*No unique]],Tableau4[[No unique]:[Oreille]],3,FALSE))</f>
        <v/>
      </c>
      <c r="D13" s="12" t="str">
        <f>IF(Identification!$B$11="","",VLOOKUP(Tableau2[[#This Row],[*No unique]],Tableau4[[No unique]:[Oreille]],4,FALSE))</f>
        <v/>
      </c>
      <c r="E13" s="12" t="str">
        <f t="shared" si="0"/>
        <v/>
      </c>
      <c r="F13" s="12" t="str">
        <f t="shared" si="1"/>
        <v/>
      </c>
      <c r="G13" s="12" t="str">
        <f>IF(Identification!$B$11="","",VLOOKUP(Tableau2[[#This Row],[*No unique]],Tableau4[[No unique]:[Oreille]],5,FALSE))</f>
        <v/>
      </c>
      <c r="H13" s="12" t="str">
        <f>IF(Identification!$B$11="","",VLOOKUP(Tableau2[[#This Row],[*No unique]],Tableau4[[No unique]:[Angle et oreille]],8,FALSE))</f>
        <v/>
      </c>
      <c r="I13" s="12" t="str">
        <f>IF(Identification!$B$11="","",VLOOKUP(Tableau2[[#This Row],[*No unique]],Tableau4[[No unique]:[Oreille]],7,FALSE))</f>
        <v/>
      </c>
      <c r="J13" s="12">
        <f>IF(G13="G",Calculs!$B$5,Calculs!$B$6)</f>
        <v>0</v>
      </c>
      <c r="K13" s="12">
        <f>IF(G13="G",Calculs!$C$5,Calculs!$C$6)</f>
        <v>0</v>
      </c>
      <c r="L13" s="26">
        <f>IF(Tableau2[[#This Row],[HP émetteur]]="G",Calculs!$B$12,Calculs!$B$13)</f>
        <v>0</v>
      </c>
      <c r="M13" s="26" t="e">
        <f>IF(Tableau2[[#This Row],[HP émetteur]]="G",-Calculs!$B$20,Calculs!$B$21)</f>
        <v>#DIV/0!</v>
      </c>
      <c r="N13" s="12"/>
      <c r="O13" s="12"/>
      <c r="P13" s="12"/>
      <c r="Q13" s="12">
        <f>IF(O9="Y",0,N9*Caractérisation!$C$19)</f>
        <v>0</v>
      </c>
      <c r="R13" s="12">
        <f>IF(O9="Y",N9*Caractérisation!$C$19,0)</f>
        <v>0</v>
      </c>
      <c r="S13" s="26">
        <f>SQRT((Tableau2[[#This Row],[*Px]]-Calculs!$B$8)^2+(Tableau2[[#This Row],[*Py]]^2))</f>
        <v>0</v>
      </c>
      <c r="T13" s="26">
        <f>SQRT((Calculs!$B$7-Tableau2[[#This Row],[*Px]])^2+(Tableau2[[#This Row],[*Py]]-Calculs!$C$7)^2)</f>
        <v>0</v>
      </c>
      <c r="U13" s="26" t="e">
        <f>DEGREES(ACOS((Calculs!$B$16^2+Tableau2[[#This Row],[*Dist C_P]]^2-Tableau2[[#This Row],[*Dist Cy0_P]]^2)/(2*Calculs!$B$16*Tableau2[[#This Row],[*Dist C_P]])))</f>
        <v>#DIV/0!</v>
      </c>
      <c r="V13" s="29" t="str">
        <f>IF(Caractérisation!$C$8="Gauche",-1,IF(Caractérisation!$C$8="Droite",1,"Erreur"))</f>
        <v>Erreur</v>
      </c>
      <c r="W13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13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13" s="26" t="str">
        <f>IF(Tableau2[[#This Row],[Erreur - Conf Av/Arr]]=0,Tableau2[[#This Row],[Réponse angulaire (degrés)]],"")</f>
        <v/>
      </c>
      <c r="Z13" s="26" t="str">
        <f>IFERROR(ABS(Tableau2[[#This Row],[Réponse angulaire (degrés)]]),"")</f>
        <v/>
      </c>
      <c r="AA13" s="26" t="str">
        <f t="shared" si="2"/>
        <v/>
      </c>
      <c r="AB13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13" s="29" t="str">
        <f>IFERROR(IF(ABS(Tableau2[[#This Row],[Réponse angulaire (degrés)]])&lt;=Identification!$B$13,1,0),"")</f>
        <v/>
      </c>
      <c r="AD13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13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13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13" s="68"/>
    </row>
    <row r="14" spans="1:33" x14ac:dyDescent="0.25">
      <c r="A14" s="18">
        <v>6</v>
      </c>
      <c r="B14" s="18" t="str">
        <f>Identification!$B$11&amp;'Entrée de données'!A14</f>
        <v>6</v>
      </c>
      <c r="C14" s="12" t="str">
        <f>IF(Identification!$B$11="","",VLOOKUP(Tableau2[[#This Row],[*No unique]],Tableau4[[No unique]:[Oreille]],3,FALSE))</f>
        <v/>
      </c>
      <c r="D14" s="12" t="str">
        <f>IF(Identification!$B$11="","",VLOOKUP(Tableau2[[#This Row],[*No unique]],Tableau4[[No unique]:[Oreille]],4,FALSE))</f>
        <v/>
      </c>
      <c r="E14" s="12" t="str">
        <f t="shared" si="0"/>
        <v/>
      </c>
      <c r="F14" s="12" t="str">
        <f t="shared" si="1"/>
        <v/>
      </c>
      <c r="G14" s="12" t="str">
        <f>IF(Identification!$B$11="","",VLOOKUP(Tableau2[[#This Row],[*No unique]],Tableau4[[No unique]:[Oreille]],5,FALSE))</f>
        <v/>
      </c>
      <c r="H14" s="12" t="str">
        <f>IF(Identification!$B$11="","",VLOOKUP(Tableau2[[#This Row],[*No unique]],Tableau4[[No unique]:[Angle et oreille]],8,FALSE))</f>
        <v/>
      </c>
      <c r="I14" s="12" t="str">
        <f>IF(Identification!$B$11="","",VLOOKUP(Tableau2[[#This Row],[*No unique]],Tableau4[[No unique]:[Oreille]],7,FALSE))</f>
        <v/>
      </c>
      <c r="J14" s="12">
        <f>IF(G14="G",Calculs!$B$5,Calculs!$B$6)</f>
        <v>0</v>
      </c>
      <c r="K14" s="12">
        <f>IF(G14="G",Calculs!$C$5,Calculs!$C$6)</f>
        <v>0</v>
      </c>
      <c r="L14" s="26">
        <f>IF(Tableau2[[#This Row],[HP émetteur]]="G",Calculs!$B$12,Calculs!$B$13)</f>
        <v>0</v>
      </c>
      <c r="M14" s="26" t="e">
        <f>IF(Tableau2[[#This Row],[HP émetteur]]="G",-Calculs!$B$20,Calculs!$B$21)</f>
        <v>#DIV/0!</v>
      </c>
      <c r="N14" s="12"/>
      <c r="O14" s="12"/>
      <c r="P14" s="12"/>
      <c r="Q14" s="12">
        <f>IF(O14="Y",0,N14*Caractérisation!$C$19)</f>
        <v>0</v>
      </c>
      <c r="R14" s="12">
        <f>IF(O14="Y",N14*Caractérisation!$C$19,0)</f>
        <v>0</v>
      </c>
      <c r="S14" s="26">
        <f>SQRT((Tableau2[[#This Row],[*Px]]-Calculs!$B$8)^2+(Tableau2[[#This Row],[*Py]]^2))</f>
        <v>0</v>
      </c>
      <c r="T14" s="26">
        <f>SQRT((Calculs!$B$7-Tableau2[[#This Row],[*Px]])^2+(Tableau2[[#This Row],[*Py]]-Calculs!$C$7)^2)</f>
        <v>0</v>
      </c>
      <c r="U14" s="26" t="e">
        <f>DEGREES(ACOS((Calculs!$B$16^2+Tableau2[[#This Row],[*Dist C_P]]^2-Tableau2[[#This Row],[*Dist Cy0_P]]^2)/(2*Calculs!$B$16*Tableau2[[#This Row],[*Dist C_P]])))</f>
        <v>#DIV/0!</v>
      </c>
      <c r="V14" s="29" t="str">
        <f>IF(Caractérisation!$C$8="Gauche",-1,IF(Caractérisation!$C$8="Droite",1,"Erreur"))</f>
        <v>Erreur</v>
      </c>
      <c r="W14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14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14" s="26" t="str">
        <f>IF(Tableau2[[#This Row],[Erreur - Conf Av/Arr]]=0,Tableau2[[#This Row],[Réponse angulaire (degrés)]],"")</f>
        <v/>
      </c>
      <c r="Z14" s="26" t="str">
        <f>IFERROR(ABS(Tableau2[[#This Row],[Réponse angulaire (degrés)]]),"")</f>
        <v/>
      </c>
      <c r="AA14" s="26" t="str">
        <f t="shared" si="2"/>
        <v/>
      </c>
      <c r="AB14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14" s="29" t="str">
        <f>IFERROR(IF(ABS(Tableau2[[#This Row],[Réponse angulaire (degrés)]])&lt;=Identification!$B$13,1,0),"")</f>
        <v/>
      </c>
      <c r="AD14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14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14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14" s="68"/>
    </row>
    <row r="15" spans="1:33" x14ac:dyDescent="0.25">
      <c r="A15" s="18">
        <v>7</v>
      </c>
      <c r="B15" s="18" t="str">
        <f>Identification!$B$11&amp;'Entrée de données'!A15</f>
        <v>7</v>
      </c>
      <c r="C15" s="12" t="str">
        <f>IF(Identification!$B$11="","",VLOOKUP(Tableau2[[#This Row],[*No unique]],Tableau4[[No unique]:[Oreille]],3,FALSE))</f>
        <v/>
      </c>
      <c r="D15" s="12" t="str">
        <f>IF(Identification!$B$11="","",VLOOKUP(Tableau2[[#This Row],[*No unique]],Tableau4[[No unique]:[Oreille]],4,FALSE))</f>
        <v/>
      </c>
      <c r="E15" s="12" t="str">
        <f t="shared" si="0"/>
        <v/>
      </c>
      <c r="F15" s="12" t="str">
        <f t="shared" si="1"/>
        <v/>
      </c>
      <c r="G15" s="12" t="str">
        <f>IF(Identification!$B$11="","",VLOOKUP(Tableau2[[#This Row],[*No unique]],Tableau4[[No unique]:[Oreille]],5,FALSE))</f>
        <v/>
      </c>
      <c r="H15" s="12" t="str">
        <f>IF(Identification!$B$11="","",VLOOKUP(Tableau2[[#This Row],[*No unique]],Tableau4[[No unique]:[Angle et oreille]],8,FALSE))</f>
        <v/>
      </c>
      <c r="I15" s="12" t="str">
        <f>IF(Identification!$B$11="","",VLOOKUP(Tableau2[[#This Row],[*No unique]],Tableau4[[No unique]:[Oreille]],7,FALSE))</f>
        <v/>
      </c>
      <c r="J15" s="12">
        <f>IF(G15="G",Calculs!$B$5,Calculs!$B$6)</f>
        <v>0</v>
      </c>
      <c r="K15" s="12">
        <f>IF(G15="G",Calculs!$C$5,Calculs!$C$6)</f>
        <v>0</v>
      </c>
      <c r="L15" s="26">
        <f>IF(Tableau2[[#This Row],[HP émetteur]]="G",Calculs!$B$12,Calculs!$B$13)</f>
        <v>0</v>
      </c>
      <c r="M15" s="26" t="e">
        <f>IF(Tableau2[[#This Row],[HP émetteur]]="G",-Calculs!$B$20,Calculs!$B$21)</f>
        <v>#DIV/0!</v>
      </c>
      <c r="N15" s="12"/>
      <c r="O15" s="12"/>
      <c r="P15" s="12"/>
      <c r="Q15" s="12">
        <f>IF(O15="Y",0,N15*Caractérisation!$C$19)</f>
        <v>0</v>
      </c>
      <c r="R15" s="12">
        <f>IF(O15="Y",N15*Caractérisation!$C$19,0)</f>
        <v>0</v>
      </c>
      <c r="S15" s="26">
        <f>SQRT((Tableau2[[#This Row],[*Px]]-Calculs!$B$8)^2+(Tableau2[[#This Row],[*Py]]^2))</f>
        <v>0</v>
      </c>
      <c r="T15" s="26">
        <f>SQRT((Calculs!$B$7-Tableau2[[#This Row],[*Px]])^2+(Tableau2[[#This Row],[*Py]]-Calculs!$C$7)^2)</f>
        <v>0</v>
      </c>
      <c r="U15" s="26" t="e">
        <f>DEGREES(ACOS((Calculs!$B$16^2+Tableau2[[#This Row],[*Dist C_P]]^2-Tableau2[[#This Row],[*Dist Cy0_P]]^2)/(2*Calculs!$B$16*Tableau2[[#This Row],[*Dist C_P]])))</f>
        <v>#DIV/0!</v>
      </c>
      <c r="V15" s="29" t="str">
        <f>IF(Caractérisation!$C$8="Gauche",-1,IF(Caractérisation!$C$8="Droite",1,"Erreur"))</f>
        <v>Erreur</v>
      </c>
      <c r="W15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15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15" s="26" t="str">
        <f>IF(Tableau2[[#This Row],[Erreur - Conf Av/Arr]]=0,Tableau2[[#This Row],[Réponse angulaire (degrés)]],"")</f>
        <v/>
      </c>
      <c r="Z15" s="26" t="str">
        <f>IFERROR(ABS(Tableau2[[#This Row],[Réponse angulaire (degrés)]]),"")</f>
        <v/>
      </c>
      <c r="AA15" s="26" t="str">
        <f t="shared" si="2"/>
        <v/>
      </c>
      <c r="AB15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15" s="29" t="str">
        <f>IFERROR(IF(ABS(Tableau2[[#This Row],[Réponse angulaire (degrés)]])&lt;=Identification!$B$13,1,0),"")</f>
        <v/>
      </c>
      <c r="AD15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15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15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15" s="68"/>
    </row>
    <row r="16" spans="1:33" x14ac:dyDescent="0.25">
      <c r="A16" s="18">
        <v>8</v>
      </c>
      <c r="B16" s="18" t="str">
        <f>Identification!$B$11&amp;'Entrée de données'!A16</f>
        <v>8</v>
      </c>
      <c r="C16" s="12" t="str">
        <f>IF(Identification!$B$11="","",VLOOKUP(Tableau2[[#This Row],[*No unique]],Tableau4[[No unique]:[Oreille]],3,FALSE))</f>
        <v/>
      </c>
      <c r="D16" s="12" t="str">
        <f>IF(Identification!$B$11="","",VLOOKUP(Tableau2[[#This Row],[*No unique]],Tableau4[[No unique]:[Oreille]],4,FALSE))</f>
        <v/>
      </c>
      <c r="E16" s="12" t="str">
        <f t="shared" si="0"/>
        <v/>
      </c>
      <c r="F16" s="12" t="str">
        <f t="shared" si="1"/>
        <v/>
      </c>
      <c r="G16" s="12" t="str">
        <f>IF(Identification!$B$11="","",VLOOKUP(Tableau2[[#This Row],[*No unique]],Tableau4[[No unique]:[Oreille]],5,FALSE))</f>
        <v/>
      </c>
      <c r="H16" s="12" t="str">
        <f>IF(Identification!$B$11="","",VLOOKUP(Tableau2[[#This Row],[*No unique]],Tableau4[[No unique]:[Angle et oreille]],8,FALSE))</f>
        <v/>
      </c>
      <c r="I16" s="12" t="str">
        <f>IF(Identification!$B$11="","",VLOOKUP(Tableau2[[#This Row],[*No unique]],Tableau4[[No unique]:[Oreille]],7,FALSE))</f>
        <v/>
      </c>
      <c r="J16" s="12">
        <f>IF(G16="G",Calculs!$B$5,Calculs!$B$6)</f>
        <v>0</v>
      </c>
      <c r="K16" s="12">
        <f>IF(G16="G",Calculs!$C$5,Calculs!$C$6)</f>
        <v>0</v>
      </c>
      <c r="L16" s="26">
        <f>IF(Tableau2[[#This Row],[HP émetteur]]="G",Calculs!$B$12,Calculs!$B$13)</f>
        <v>0</v>
      </c>
      <c r="M16" s="26" t="e">
        <f>IF(Tableau2[[#This Row],[HP émetteur]]="G",-Calculs!$B$20,Calculs!$B$21)</f>
        <v>#DIV/0!</v>
      </c>
      <c r="N16" s="12"/>
      <c r="O16" s="12"/>
      <c r="P16" s="12"/>
      <c r="Q16" s="12">
        <f>IF(O16="Y",0,N16*Caractérisation!$C$19)</f>
        <v>0</v>
      </c>
      <c r="R16" s="12">
        <f>IF(O16="Y",N16*Caractérisation!$C$19,0)</f>
        <v>0</v>
      </c>
      <c r="S16" s="26">
        <f>SQRT((Tableau2[[#This Row],[*Px]]-Calculs!$B$8)^2+(Tableau2[[#This Row],[*Py]]^2))</f>
        <v>0</v>
      </c>
      <c r="T16" s="26">
        <f>SQRT((Calculs!$B$7-Tableau2[[#This Row],[*Px]])^2+(Tableau2[[#This Row],[*Py]]-Calculs!$C$7)^2)</f>
        <v>0</v>
      </c>
      <c r="U16" s="26" t="e">
        <f>DEGREES(ACOS((Calculs!$B$16^2+Tableau2[[#This Row],[*Dist C_P]]^2-Tableau2[[#This Row],[*Dist Cy0_P]]^2)/(2*Calculs!$B$16*Tableau2[[#This Row],[*Dist C_P]])))</f>
        <v>#DIV/0!</v>
      </c>
      <c r="V16" s="29" t="str">
        <f>IF(Caractérisation!$C$8="Gauche",-1,IF(Caractérisation!$C$8="Droite",1,"Erreur"))</f>
        <v>Erreur</v>
      </c>
      <c r="W16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16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16" s="26" t="str">
        <f>IF(Tableau2[[#This Row],[Erreur - Conf Av/Arr]]=0,Tableau2[[#This Row],[Réponse angulaire (degrés)]],"")</f>
        <v/>
      </c>
      <c r="Z16" s="26" t="str">
        <f>IFERROR(ABS(Tableau2[[#This Row],[Réponse angulaire (degrés)]]),"")</f>
        <v/>
      </c>
      <c r="AA16" s="26" t="str">
        <f t="shared" si="2"/>
        <v/>
      </c>
      <c r="AB16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16" s="29" t="str">
        <f>IFERROR(IF(ABS(Tableau2[[#This Row],[Réponse angulaire (degrés)]])&lt;=Identification!$B$13,1,0),"")</f>
        <v/>
      </c>
      <c r="AD16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16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16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16" s="68"/>
    </row>
    <row r="17" spans="1:33" x14ac:dyDescent="0.25">
      <c r="A17" s="18">
        <v>9</v>
      </c>
      <c r="B17" s="18" t="str">
        <f>Identification!$B$11&amp;'Entrée de données'!A17</f>
        <v>9</v>
      </c>
      <c r="C17" s="12" t="str">
        <f>IF(Identification!$B$11="","",VLOOKUP(Tableau2[[#This Row],[*No unique]],Tableau4[[No unique]:[Oreille]],3,FALSE))</f>
        <v/>
      </c>
      <c r="D17" s="12" t="str">
        <f>IF(Identification!$B$11="","",VLOOKUP(Tableau2[[#This Row],[*No unique]],Tableau4[[No unique]:[Oreille]],4,FALSE))</f>
        <v/>
      </c>
      <c r="E17" s="12" t="str">
        <f t="shared" si="0"/>
        <v/>
      </c>
      <c r="F17" s="12" t="str">
        <f t="shared" si="1"/>
        <v/>
      </c>
      <c r="G17" s="12" t="str">
        <f>IF(Identification!$B$11="","",VLOOKUP(Tableau2[[#This Row],[*No unique]],Tableau4[[No unique]:[Oreille]],5,FALSE))</f>
        <v/>
      </c>
      <c r="H17" s="12" t="str">
        <f>IF(Identification!$B$11="","",VLOOKUP(Tableau2[[#This Row],[*No unique]],Tableau4[[No unique]:[Angle et oreille]],8,FALSE))</f>
        <v/>
      </c>
      <c r="I17" s="12" t="str">
        <f>IF(Identification!$B$11="","",VLOOKUP(Tableau2[[#This Row],[*No unique]],Tableau4[[No unique]:[Oreille]],7,FALSE))</f>
        <v/>
      </c>
      <c r="J17" s="12">
        <f>IF(G17="G",Calculs!$B$5,Calculs!$B$6)</f>
        <v>0</v>
      </c>
      <c r="K17" s="12">
        <f>IF(G17="G",Calculs!$C$5,Calculs!$C$6)</f>
        <v>0</v>
      </c>
      <c r="L17" s="26">
        <f>IF(Tableau2[[#This Row],[HP émetteur]]="G",Calculs!$B$12,Calculs!$B$13)</f>
        <v>0</v>
      </c>
      <c r="M17" s="26" t="e">
        <f>IF(Tableau2[[#This Row],[HP émetteur]]="G",-Calculs!$B$20,Calculs!$B$21)</f>
        <v>#DIV/0!</v>
      </c>
      <c r="N17" s="12"/>
      <c r="O17" s="12"/>
      <c r="P17" s="12"/>
      <c r="Q17" s="12">
        <f>IF(O17="Y",0,N17*Caractérisation!$C$19)</f>
        <v>0</v>
      </c>
      <c r="R17" s="12">
        <f>IF(O17="Y",N17*Caractérisation!$C$19,0)</f>
        <v>0</v>
      </c>
      <c r="S17" s="26">
        <f>SQRT((Tableau2[[#This Row],[*Px]]-Calculs!$B$8)^2+(Tableau2[[#This Row],[*Py]]^2))</f>
        <v>0</v>
      </c>
      <c r="T17" s="26">
        <f>SQRT((Calculs!$B$7-Tableau2[[#This Row],[*Px]])^2+(Tableau2[[#This Row],[*Py]]-Calculs!$C$7)^2)</f>
        <v>0</v>
      </c>
      <c r="U17" s="26" t="e">
        <f>DEGREES(ACOS((Calculs!$B$16^2+Tableau2[[#This Row],[*Dist C_P]]^2-Tableau2[[#This Row],[*Dist Cy0_P]]^2)/(2*Calculs!$B$16*Tableau2[[#This Row],[*Dist C_P]])))</f>
        <v>#DIV/0!</v>
      </c>
      <c r="V17" s="29" t="str">
        <f>IF(Caractérisation!$C$8="Gauche",-1,IF(Caractérisation!$C$8="Droite",1,"Erreur"))</f>
        <v>Erreur</v>
      </c>
      <c r="W17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17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17" s="26" t="str">
        <f>IF(Tableau2[[#This Row],[Erreur - Conf Av/Arr]]=0,Tableau2[[#This Row],[Réponse angulaire (degrés)]],"")</f>
        <v/>
      </c>
      <c r="Z17" s="26" t="str">
        <f>IFERROR(ABS(Tableau2[[#This Row],[Réponse angulaire (degrés)]]),"")</f>
        <v/>
      </c>
      <c r="AA17" s="26" t="str">
        <f t="shared" si="2"/>
        <v/>
      </c>
      <c r="AB17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17" s="29" t="str">
        <f>IFERROR(IF(ABS(Tableau2[[#This Row],[Réponse angulaire (degrés)]])&lt;=Identification!$B$13,1,0),"")</f>
        <v/>
      </c>
      <c r="AD17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17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17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17" s="68"/>
    </row>
    <row r="18" spans="1:33" x14ac:dyDescent="0.25">
      <c r="A18" s="18">
        <v>10</v>
      </c>
      <c r="B18" s="18" t="str">
        <f>Identification!$B$11&amp;'Entrée de données'!A18</f>
        <v>10</v>
      </c>
      <c r="C18" s="12" t="str">
        <f>IF(Identification!$B$11="","",VLOOKUP(Tableau2[[#This Row],[*No unique]],Tableau4[[No unique]:[Oreille]],3,FALSE))</f>
        <v/>
      </c>
      <c r="D18" s="12" t="str">
        <f>IF(Identification!$B$11="","",VLOOKUP(Tableau2[[#This Row],[*No unique]],Tableau4[[No unique]:[Oreille]],4,FALSE))</f>
        <v/>
      </c>
      <c r="E18" s="12" t="str">
        <f t="shared" si="0"/>
        <v/>
      </c>
      <c r="F18" s="12" t="str">
        <f t="shared" si="1"/>
        <v/>
      </c>
      <c r="G18" s="12" t="str">
        <f>IF(Identification!$B$11="","",VLOOKUP(Tableau2[[#This Row],[*No unique]],Tableau4[[No unique]:[Oreille]],5,FALSE))</f>
        <v/>
      </c>
      <c r="H18" s="12" t="str">
        <f>IF(Identification!$B$11="","",VLOOKUP(Tableau2[[#This Row],[*No unique]],Tableau4[[No unique]:[Angle et oreille]],8,FALSE))</f>
        <v/>
      </c>
      <c r="I18" s="12" t="str">
        <f>IF(Identification!$B$11="","",VLOOKUP(Tableau2[[#This Row],[*No unique]],Tableau4[[No unique]:[Oreille]],7,FALSE))</f>
        <v/>
      </c>
      <c r="J18" s="12">
        <f>IF(G18="G",Calculs!$B$5,Calculs!$B$6)</f>
        <v>0</v>
      </c>
      <c r="K18" s="12">
        <f>IF(G18="G",Calculs!$C$5,Calculs!$C$6)</f>
        <v>0</v>
      </c>
      <c r="L18" s="26">
        <f>IF(Tableau2[[#This Row],[HP émetteur]]="G",Calculs!$B$12,Calculs!$B$13)</f>
        <v>0</v>
      </c>
      <c r="M18" s="26" t="e">
        <f>IF(Tableau2[[#This Row],[HP émetteur]]="G",-Calculs!$B$20,Calculs!$B$21)</f>
        <v>#DIV/0!</v>
      </c>
      <c r="N18" s="12"/>
      <c r="O18" s="12"/>
      <c r="P18" s="12"/>
      <c r="Q18" s="12">
        <f>IF(O18="Y",0,N18*Caractérisation!$C$19)</f>
        <v>0</v>
      </c>
      <c r="R18" s="12">
        <f>IF(O18="Y",N18*Caractérisation!$C$19,0)</f>
        <v>0</v>
      </c>
      <c r="S18" s="26">
        <f>SQRT((Tableau2[[#This Row],[*Px]]-Calculs!$B$8)^2+(Tableau2[[#This Row],[*Py]]^2))</f>
        <v>0</v>
      </c>
      <c r="T18" s="26">
        <f>SQRT((Calculs!$B$7-Tableau2[[#This Row],[*Px]])^2+(Tableau2[[#This Row],[*Py]]-Calculs!$C$7)^2)</f>
        <v>0</v>
      </c>
      <c r="U18" s="26" t="e">
        <f>DEGREES(ACOS((Calculs!$B$16^2+Tableau2[[#This Row],[*Dist C_P]]^2-Tableau2[[#This Row],[*Dist Cy0_P]]^2)/(2*Calculs!$B$16*Tableau2[[#This Row],[*Dist C_P]])))</f>
        <v>#DIV/0!</v>
      </c>
      <c r="V18" s="29" t="str">
        <f>IF(Caractérisation!$C$8="Gauche",-1,IF(Caractérisation!$C$8="Droite",1,"Erreur"))</f>
        <v>Erreur</v>
      </c>
      <c r="W18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18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18" s="26" t="str">
        <f>IF(Tableau2[[#This Row],[Erreur - Conf Av/Arr]]=0,Tableau2[[#This Row],[Réponse angulaire (degrés)]],"")</f>
        <v/>
      </c>
      <c r="Z18" s="26" t="str">
        <f>IFERROR(ABS(Tableau2[[#This Row],[Réponse angulaire (degrés)]]),"")</f>
        <v/>
      </c>
      <c r="AA18" s="26" t="str">
        <f t="shared" si="2"/>
        <v/>
      </c>
      <c r="AB18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18" s="29" t="str">
        <f>IFERROR(IF(ABS(Tableau2[[#This Row],[Réponse angulaire (degrés)]])&lt;=Identification!$B$13,1,0),"")</f>
        <v/>
      </c>
      <c r="AD18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18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18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18" s="68"/>
    </row>
    <row r="19" spans="1:33" x14ac:dyDescent="0.25">
      <c r="A19" s="18">
        <v>11</v>
      </c>
      <c r="B19" s="18" t="str">
        <f>Identification!$B$11&amp;'Entrée de données'!A19</f>
        <v>11</v>
      </c>
      <c r="C19" s="12" t="str">
        <f>IF(Identification!$B$11="","",VLOOKUP(Tableau2[[#This Row],[*No unique]],Tableau4[[No unique]:[Oreille]],3,FALSE))</f>
        <v/>
      </c>
      <c r="D19" s="12" t="str">
        <f>IF(Identification!$B$11="","",VLOOKUP(Tableau2[[#This Row],[*No unique]],Tableau4[[No unique]:[Oreille]],4,FALSE))</f>
        <v/>
      </c>
      <c r="E19" s="12" t="str">
        <f t="shared" si="0"/>
        <v/>
      </c>
      <c r="F19" s="12" t="str">
        <f t="shared" si="1"/>
        <v/>
      </c>
      <c r="G19" s="12" t="str">
        <f>IF(Identification!$B$11="","",VLOOKUP(Tableau2[[#This Row],[*No unique]],Tableau4[[No unique]:[Oreille]],5,FALSE))</f>
        <v/>
      </c>
      <c r="H19" s="12" t="str">
        <f>IF(Identification!$B$11="","",VLOOKUP(Tableau2[[#This Row],[*No unique]],Tableau4[[No unique]:[Angle et oreille]],8,FALSE))</f>
        <v/>
      </c>
      <c r="I19" s="12" t="str">
        <f>IF(Identification!$B$11="","",VLOOKUP(Tableau2[[#This Row],[*No unique]],Tableau4[[No unique]:[Oreille]],7,FALSE))</f>
        <v/>
      </c>
      <c r="J19" s="12">
        <f>IF(G19="G",Calculs!$B$5,Calculs!$B$6)</f>
        <v>0</v>
      </c>
      <c r="K19" s="12">
        <f>IF(G19="G",Calculs!$C$5,Calculs!$C$6)</f>
        <v>0</v>
      </c>
      <c r="L19" s="26">
        <f>IF(Tableau2[[#This Row],[HP émetteur]]="G",Calculs!$B$12,Calculs!$B$13)</f>
        <v>0</v>
      </c>
      <c r="M19" s="26" t="e">
        <f>IF(Tableau2[[#This Row],[HP émetteur]]="G",-Calculs!$B$20,Calculs!$B$21)</f>
        <v>#DIV/0!</v>
      </c>
      <c r="N19" s="12"/>
      <c r="O19" s="12"/>
      <c r="P19" s="12"/>
      <c r="Q19" s="12">
        <f>IF(O19="Y",0,N19*Caractérisation!$C$19)</f>
        <v>0</v>
      </c>
      <c r="R19" s="12">
        <f>IF(O19="Y",N19*Caractérisation!$C$19,0)</f>
        <v>0</v>
      </c>
      <c r="S19" s="26">
        <f>SQRT((Tableau2[[#This Row],[*Px]]-Calculs!$B$8)^2+(Tableau2[[#This Row],[*Py]]^2))</f>
        <v>0</v>
      </c>
      <c r="T19" s="26">
        <f>SQRT((Calculs!$B$7-Tableau2[[#This Row],[*Px]])^2+(Tableau2[[#This Row],[*Py]]-Calculs!$C$7)^2)</f>
        <v>0</v>
      </c>
      <c r="U19" s="26" t="e">
        <f>DEGREES(ACOS((Calculs!$B$16^2+Tableau2[[#This Row],[*Dist C_P]]^2-Tableau2[[#This Row],[*Dist Cy0_P]]^2)/(2*Calculs!$B$16*Tableau2[[#This Row],[*Dist C_P]])))</f>
        <v>#DIV/0!</v>
      </c>
      <c r="V19" s="29" t="str">
        <f>IF(Caractérisation!$C$8="Gauche",-1,IF(Caractérisation!$C$8="Droite",1,"Erreur"))</f>
        <v>Erreur</v>
      </c>
      <c r="W19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19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19" s="26" t="str">
        <f>IF(Tableau2[[#This Row],[Erreur - Conf Av/Arr]]=0,Tableau2[[#This Row],[Réponse angulaire (degrés)]],"")</f>
        <v/>
      </c>
      <c r="Z19" s="26" t="str">
        <f>IFERROR(ABS(Tableau2[[#This Row],[Réponse angulaire (degrés)]]),"")</f>
        <v/>
      </c>
      <c r="AA19" s="26" t="str">
        <f t="shared" si="2"/>
        <v/>
      </c>
      <c r="AB19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19" s="29" t="str">
        <f>IFERROR(IF(ABS(Tableau2[[#This Row],[Réponse angulaire (degrés)]])&lt;=Identification!$B$13,1,0),"")</f>
        <v/>
      </c>
      <c r="AD19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19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19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19" s="68"/>
    </row>
    <row r="20" spans="1:33" x14ac:dyDescent="0.25">
      <c r="A20" s="18">
        <v>12</v>
      </c>
      <c r="B20" s="18" t="str">
        <f>Identification!$B$11&amp;'Entrée de données'!A20</f>
        <v>12</v>
      </c>
      <c r="C20" s="12" t="str">
        <f>IF(Identification!$B$11="","",VLOOKUP(Tableau2[[#This Row],[*No unique]],Tableau4[[No unique]:[Oreille]],3,FALSE))</f>
        <v/>
      </c>
      <c r="D20" s="12" t="str">
        <f>IF(Identification!$B$11="","",VLOOKUP(Tableau2[[#This Row],[*No unique]],Tableau4[[No unique]:[Oreille]],4,FALSE))</f>
        <v/>
      </c>
      <c r="E20" s="12" t="str">
        <f t="shared" si="0"/>
        <v/>
      </c>
      <c r="F20" s="12" t="str">
        <f t="shared" si="1"/>
        <v/>
      </c>
      <c r="G20" s="12" t="str">
        <f>IF(Identification!$B$11="","",VLOOKUP(Tableau2[[#This Row],[*No unique]],Tableau4[[No unique]:[Oreille]],5,FALSE))</f>
        <v/>
      </c>
      <c r="H20" s="12" t="str">
        <f>IF(Identification!$B$11="","",VLOOKUP(Tableau2[[#This Row],[*No unique]],Tableau4[[No unique]:[Angle et oreille]],8,FALSE))</f>
        <v/>
      </c>
      <c r="I20" s="12" t="str">
        <f>IF(Identification!$B$11="","",VLOOKUP(Tableau2[[#This Row],[*No unique]],Tableau4[[No unique]:[Oreille]],7,FALSE))</f>
        <v/>
      </c>
      <c r="J20" s="12">
        <f>IF(G20="G",Calculs!$B$5,Calculs!$B$6)</f>
        <v>0</v>
      </c>
      <c r="K20" s="12">
        <f>IF(G20="G",Calculs!$C$5,Calculs!$C$6)</f>
        <v>0</v>
      </c>
      <c r="L20" s="26">
        <f>IF(Tableau2[[#This Row],[HP émetteur]]="G",Calculs!$B$12,Calculs!$B$13)</f>
        <v>0</v>
      </c>
      <c r="M20" s="26" t="e">
        <f>IF(Tableau2[[#This Row],[HP émetteur]]="G",-Calculs!$B$20,Calculs!$B$21)</f>
        <v>#DIV/0!</v>
      </c>
      <c r="N20" s="12"/>
      <c r="O20" s="12"/>
      <c r="P20" s="12"/>
      <c r="Q20" s="12">
        <f>IF(O20="Y",0,N20*Caractérisation!$C$19)</f>
        <v>0</v>
      </c>
      <c r="R20" s="12">
        <f>IF(O20="Y",N20*Caractérisation!$C$19,0)</f>
        <v>0</v>
      </c>
      <c r="S20" s="26">
        <f>SQRT((Tableau2[[#This Row],[*Px]]-Calculs!$B$8)^2+(Tableau2[[#This Row],[*Py]]^2))</f>
        <v>0</v>
      </c>
      <c r="T20" s="26">
        <f>SQRT((Calculs!$B$7-Tableau2[[#This Row],[*Px]])^2+(Tableau2[[#This Row],[*Py]]-Calculs!$C$7)^2)</f>
        <v>0</v>
      </c>
      <c r="U20" s="26" t="e">
        <f>DEGREES(ACOS((Calculs!$B$16^2+Tableau2[[#This Row],[*Dist C_P]]^2-Tableau2[[#This Row],[*Dist Cy0_P]]^2)/(2*Calculs!$B$16*Tableau2[[#This Row],[*Dist C_P]])))</f>
        <v>#DIV/0!</v>
      </c>
      <c r="V20" s="29" t="str">
        <f>IF(Caractérisation!$C$8="Gauche",-1,IF(Caractérisation!$C$8="Droite",1,"Erreur"))</f>
        <v>Erreur</v>
      </c>
      <c r="W20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20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20" s="26" t="str">
        <f>IF(Tableau2[[#This Row],[Erreur - Conf Av/Arr]]=0,Tableau2[[#This Row],[Réponse angulaire (degrés)]],"")</f>
        <v/>
      </c>
      <c r="Z20" s="26" t="str">
        <f>IFERROR(ABS(Tableau2[[#This Row],[Réponse angulaire (degrés)]]),"")</f>
        <v/>
      </c>
      <c r="AA20" s="26" t="str">
        <f t="shared" si="2"/>
        <v/>
      </c>
      <c r="AB20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20" s="29" t="str">
        <f>IFERROR(IF(ABS(Tableau2[[#This Row],[Réponse angulaire (degrés)]])&lt;=Identification!$B$13,1,0),"")</f>
        <v/>
      </c>
      <c r="AD20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20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20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20" s="68"/>
    </row>
    <row r="21" spans="1:33" x14ac:dyDescent="0.25">
      <c r="A21" s="18">
        <v>13</v>
      </c>
      <c r="B21" s="18" t="str">
        <f>Identification!$B$11&amp;'Entrée de données'!A21</f>
        <v>13</v>
      </c>
      <c r="C21" s="12" t="str">
        <f>IF(Identification!$B$11="","",VLOOKUP(Tableau2[[#This Row],[*No unique]],Tableau4[[No unique]:[Oreille]],3,FALSE))</f>
        <v/>
      </c>
      <c r="D21" s="12" t="str">
        <f>IF(Identification!$B$11="","",VLOOKUP(Tableau2[[#This Row],[*No unique]],Tableau4[[No unique]:[Oreille]],4,FALSE))</f>
        <v/>
      </c>
      <c r="E21" s="12" t="str">
        <f t="shared" si="0"/>
        <v/>
      </c>
      <c r="F21" s="12" t="str">
        <f t="shared" si="1"/>
        <v/>
      </c>
      <c r="G21" s="12" t="str">
        <f>IF(Identification!$B$11="","",VLOOKUP(Tableau2[[#This Row],[*No unique]],Tableau4[[No unique]:[Oreille]],5,FALSE))</f>
        <v/>
      </c>
      <c r="H21" s="12" t="str">
        <f>IF(Identification!$B$11="","",VLOOKUP(Tableau2[[#This Row],[*No unique]],Tableau4[[No unique]:[Angle et oreille]],8,FALSE))</f>
        <v/>
      </c>
      <c r="I21" s="12" t="str">
        <f>IF(Identification!$B$11="","",VLOOKUP(Tableau2[[#This Row],[*No unique]],Tableau4[[No unique]:[Oreille]],7,FALSE))</f>
        <v/>
      </c>
      <c r="J21" s="12">
        <f>IF(G21="G",Calculs!$B$5,Calculs!$B$6)</f>
        <v>0</v>
      </c>
      <c r="K21" s="12">
        <f>IF(G21="G",Calculs!$C$5,Calculs!$C$6)</f>
        <v>0</v>
      </c>
      <c r="L21" s="26">
        <f>IF(Tableau2[[#This Row],[HP émetteur]]="G",Calculs!$B$12,Calculs!$B$13)</f>
        <v>0</v>
      </c>
      <c r="M21" s="26" t="e">
        <f>IF(Tableau2[[#This Row],[HP émetteur]]="G",-Calculs!$B$20,Calculs!$B$21)</f>
        <v>#DIV/0!</v>
      </c>
      <c r="N21" s="12"/>
      <c r="O21" s="12"/>
      <c r="P21" s="12"/>
      <c r="Q21" s="12">
        <f>IF(O21="Y",0,N21*Caractérisation!$C$19)</f>
        <v>0</v>
      </c>
      <c r="R21" s="12">
        <f>IF(O21="Y",N21*Caractérisation!$C$19,0)</f>
        <v>0</v>
      </c>
      <c r="S21" s="26">
        <f>SQRT((Tableau2[[#This Row],[*Px]]-Calculs!$B$8)^2+(Tableau2[[#This Row],[*Py]]^2))</f>
        <v>0</v>
      </c>
      <c r="T21" s="26">
        <f>SQRT((Calculs!$B$7-Tableau2[[#This Row],[*Px]])^2+(Tableau2[[#This Row],[*Py]]-Calculs!$C$7)^2)</f>
        <v>0</v>
      </c>
      <c r="U21" s="26" t="e">
        <f>DEGREES(ACOS((Calculs!$B$16^2+Tableau2[[#This Row],[*Dist C_P]]^2-Tableau2[[#This Row],[*Dist Cy0_P]]^2)/(2*Calculs!$B$16*Tableau2[[#This Row],[*Dist C_P]])))</f>
        <v>#DIV/0!</v>
      </c>
      <c r="V21" s="29" t="str">
        <f>IF(Caractérisation!$C$8="Gauche",-1,IF(Caractérisation!$C$8="Droite",1,"Erreur"))</f>
        <v>Erreur</v>
      </c>
      <c r="W21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21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21" s="26" t="str">
        <f>IF(Tableau2[[#This Row],[Erreur - Conf Av/Arr]]=0,Tableau2[[#This Row],[Réponse angulaire (degrés)]],"")</f>
        <v/>
      </c>
      <c r="Z21" s="26" t="str">
        <f>IFERROR(ABS(Tableau2[[#This Row],[Réponse angulaire (degrés)]]),"")</f>
        <v/>
      </c>
      <c r="AA21" s="26" t="str">
        <f t="shared" si="2"/>
        <v/>
      </c>
      <c r="AB21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21" s="29" t="str">
        <f>IFERROR(IF(ABS(Tableau2[[#This Row],[Réponse angulaire (degrés)]])&lt;=Identification!$B$13,1,0),"")</f>
        <v/>
      </c>
      <c r="AD21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21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21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21" s="68"/>
    </row>
    <row r="22" spans="1:33" x14ac:dyDescent="0.25">
      <c r="A22" s="18">
        <v>14</v>
      </c>
      <c r="B22" s="18" t="str">
        <f>Identification!$B$11&amp;'Entrée de données'!A22</f>
        <v>14</v>
      </c>
      <c r="C22" s="12" t="str">
        <f>IF(Identification!$B$11="","",VLOOKUP(Tableau2[[#This Row],[*No unique]],Tableau4[[No unique]:[Oreille]],3,FALSE))</f>
        <v/>
      </c>
      <c r="D22" s="12" t="str">
        <f>IF(Identification!$B$11="","",VLOOKUP(Tableau2[[#This Row],[*No unique]],Tableau4[[No unique]:[Oreille]],4,FALSE))</f>
        <v/>
      </c>
      <c r="E22" s="12" t="str">
        <f t="shared" si="0"/>
        <v/>
      </c>
      <c r="F22" s="12" t="str">
        <f t="shared" si="1"/>
        <v/>
      </c>
      <c r="G22" s="12" t="str">
        <f>IF(Identification!$B$11="","",VLOOKUP(Tableau2[[#This Row],[*No unique]],Tableau4[[No unique]:[Oreille]],5,FALSE))</f>
        <v/>
      </c>
      <c r="H22" s="12" t="str">
        <f>IF(Identification!$B$11="","",VLOOKUP(Tableau2[[#This Row],[*No unique]],Tableau4[[No unique]:[Angle et oreille]],8,FALSE))</f>
        <v/>
      </c>
      <c r="I22" s="12" t="str">
        <f>IF(Identification!$B$11="","",VLOOKUP(Tableau2[[#This Row],[*No unique]],Tableau4[[No unique]:[Oreille]],7,FALSE))</f>
        <v/>
      </c>
      <c r="J22" s="12">
        <f>IF(G22="G",Calculs!$B$5,Calculs!$B$6)</f>
        <v>0</v>
      </c>
      <c r="K22" s="12">
        <f>IF(G22="G",Calculs!$C$5,Calculs!$C$6)</f>
        <v>0</v>
      </c>
      <c r="L22" s="26">
        <f>IF(Tableau2[[#This Row],[HP émetteur]]="G",Calculs!$B$12,Calculs!$B$13)</f>
        <v>0</v>
      </c>
      <c r="M22" s="26" t="e">
        <f>IF(Tableau2[[#This Row],[HP émetteur]]="G",-Calculs!$B$20,Calculs!$B$21)</f>
        <v>#DIV/0!</v>
      </c>
      <c r="N22" s="12"/>
      <c r="O22" s="12"/>
      <c r="P22" s="12"/>
      <c r="Q22" s="12">
        <f>IF(O22="Y",0,N22*Caractérisation!$C$19)</f>
        <v>0</v>
      </c>
      <c r="R22" s="12">
        <f>IF(O22="Y",N22*Caractérisation!$C$19,0)</f>
        <v>0</v>
      </c>
      <c r="S22" s="26">
        <f>SQRT((Tableau2[[#This Row],[*Px]]-Calculs!$B$8)^2+(Tableau2[[#This Row],[*Py]]^2))</f>
        <v>0</v>
      </c>
      <c r="T22" s="26">
        <f>SQRT((Calculs!$B$7-Tableau2[[#This Row],[*Px]])^2+(Tableau2[[#This Row],[*Py]]-Calculs!$C$7)^2)</f>
        <v>0</v>
      </c>
      <c r="U22" s="26" t="e">
        <f>DEGREES(ACOS((Calculs!$B$16^2+Tableau2[[#This Row],[*Dist C_P]]^2-Tableau2[[#This Row],[*Dist Cy0_P]]^2)/(2*Calculs!$B$16*Tableau2[[#This Row],[*Dist C_P]])))</f>
        <v>#DIV/0!</v>
      </c>
      <c r="V22" s="29" t="str">
        <f>IF(Caractérisation!$C$8="Gauche",-1,IF(Caractérisation!$C$8="Droite",1,"Erreur"))</f>
        <v>Erreur</v>
      </c>
      <c r="W22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22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22" s="26" t="str">
        <f>IF(Tableau2[[#This Row],[Erreur - Conf Av/Arr]]=0,Tableau2[[#This Row],[Réponse angulaire (degrés)]],"")</f>
        <v/>
      </c>
      <c r="Z22" s="26" t="str">
        <f>IFERROR(ABS(Tableau2[[#This Row],[Réponse angulaire (degrés)]]),"")</f>
        <v/>
      </c>
      <c r="AA22" s="26" t="str">
        <f t="shared" si="2"/>
        <v/>
      </c>
      <c r="AB22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22" s="29" t="str">
        <f>IFERROR(IF(ABS(Tableau2[[#This Row],[Réponse angulaire (degrés)]])&lt;=Identification!$B$13,1,0),"")</f>
        <v/>
      </c>
      <c r="AD22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22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22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22" s="68"/>
    </row>
    <row r="23" spans="1:33" x14ac:dyDescent="0.25">
      <c r="A23" s="18">
        <v>15</v>
      </c>
      <c r="B23" s="18" t="str">
        <f>Identification!$B$11&amp;'Entrée de données'!A23</f>
        <v>15</v>
      </c>
      <c r="C23" s="12" t="str">
        <f>IF(Identification!$B$11="","",VLOOKUP(Tableau2[[#This Row],[*No unique]],Tableau4[[No unique]:[Oreille]],3,FALSE))</f>
        <v/>
      </c>
      <c r="D23" s="12" t="str">
        <f>IF(Identification!$B$11="","",VLOOKUP(Tableau2[[#This Row],[*No unique]],Tableau4[[No unique]:[Oreille]],4,FALSE))</f>
        <v/>
      </c>
      <c r="E23" s="12" t="str">
        <f t="shared" si="0"/>
        <v/>
      </c>
      <c r="F23" s="12" t="str">
        <f t="shared" si="1"/>
        <v/>
      </c>
      <c r="G23" s="12" t="str">
        <f>IF(Identification!$B$11="","",VLOOKUP(Tableau2[[#This Row],[*No unique]],Tableau4[[No unique]:[Oreille]],5,FALSE))</f>
        <v/>
      </c>
      <c r="H23" s="12" t="str">
        <f>IF(Identification!$B$11="","",VLOOKUP(Tableau2[[#This Row],[*No unique]],Tableau4[[No unique]:[Angle et oreille]],8,FALSE))</f>
        <v/>
      </c>
      <c r="I23" s="12" t="str">
        <f>IF(Identification!$B$11="","",VLOOKUP(Tableau2[[#This Row],[*No unique]],Tableau4[[No unique]:[Oreille]],7,FALSE))</f>
        <v/>
      </c>
      <c r="J23" s="12">
        <f>IF(G23="G",Calculs!$B$5,Calculs!$B$6)</f>
        <v>0</v>
      </c>
      <c r="K23" s="12">
        <f>IF(G23="G",Calculs!$C$5,Calculs!$C$6)</f>
        <v>0</v>
      </c>
      <c r="L23" s="26">
        <f>IF(Tableau2[[#This Row],[HP émetteur]]="G",Calculs!$B$12,Calculs!$B$13)</f>
        <v>0</v>
      </c>
      <c r="M23" s="26" t="e">
        <f>IF(Tableau2[[#This Row],[HP émetteur]]="G",-Calculs!$B$20,Calculs!$B$21)</f>
        <v>#DIV/0!</v>
      </c>
      <c r="N23" s="12"/>
      <c r="O23" s="12"/>
      <c r="P23" s="12"/>
      <c r="Q23" s="12">
        <f>IF(O23="Y",0,N23*Caractérisation!$C$19)</f>
        <v>0</v>
      </c>
      <c r="R23" s="12">
        <f>IF(O23="Y",N23*Caractérisation!$C$19,0)</f>
        <v>0</v>
      </c>
      <c r="S23" s="26">
        <f>SQRT((Tableau2[[#This Row],[*Px]]-Calculs!$B$8)^2+(Tableau2[[#This Row],[*Py]]^2))</f>
        <v>0</v>
      </c>
      <c r="T23" s="26">
        <f>SQRT((Calculs!$B$7-Tableau2[[#This Row],[*Px]])^2+(Tableau2[[#This Row],[*Py]]-Calculs!$C$7)^2)</f>
        <v>0</v>
      </c>
      <c r="U23" s="26" t="e">
        <f>DEGREES(ACOS((Calculs!$B$16^2+Tableau2[[#This Row],[*Dist C_P]]^2-Tableau2[[#This Row],[*Dist Cy0_P]]^2)/(2*Calculs!$B$16*Tableau2[[#This Row],[*Dist C_P]])))</f>
        <v>#DIV/0!</v>
      </c>
      <c r="V23" s="29" t="str">
        <f>IF(Caractérisation!$C$8="Gauche",-1,IF(Caractérisation!$C$8="Droite",1,"Erreur"))</f>
        <v>Erreur</v>
      </c>
      <c r="W23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23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23" s="26" t="str">
        <f>IF(Tableau2[[#This Row],[Erreur - Conf Av/Arr]]=0,Tableau2[[#This Row],[Réponse angulaire (degrés)]],"")</f>
        <v/>
      </c>
      <c r="Z23" s="26" t="str">
        <f>IFERROR(ABS(Tableau2[[#This Row],[Réponse angulaire (degrés)]]),"")</f>
        <v/>
      </c>
      <c r="AA23" s="26" t="str">
        <f t="shared" si="2"/>
        <v/>
      </c>
      <c r="AB23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23" s="29" t="str">
        <f>IFERROR(IF(ABS(Tableau2[[#This Row],[Réponse angulaire (degrés)]])&lt;=Identification!$B$13,1,0),"")</f>
        <v/>
      </c>
      <c r="AD23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23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23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23" s="68"/>
    </row>
    <row r="24" spans="1:33" x14ac:dyDescent="0.25">
      <c r="A24" s="18">
        <v>16</v>
      </c>
      <c r="B24" s="18" t="str">
        <f>Identification!$B$11&amp;'Entrée de données'!A24</f>
        <v>16</v>
      </c>
      <c r="C24" s="12" t="str">
        <f>IF(Identification!$B$11="","",VLOOKUP(Tableau2[[#This Row],[*No unique]],Tableau4[[No unique]:[Oreille]],3,FALSE))</f>
        <v/>
      </c>
      <c r="D24" s="12" t="str">
        <f>IF(Identification!$B$11="","",VLOOKUP(Tableau2[[#This Row],[*No unique]],Tableau4[[No unique]:[Oreille]],4,FALSE))</f>
        <v/>
      </c>
      <c r="E24" s="12" t="str">
        <f t="shared" si="0"/>
        <v/>
      </c>
      <c r="F24" s="12" t="str">
        <f t="shared" si="1"/>
        <v/>
      </c>
      <c r="G24" s="12" t="str">
        <f>IF(Identification!$B$11="","",VLOOKUP(Tableau2[[#This Row],[*No unique]],Tableau4[[No unique]:[Oreille]],5,FALSE))</f>
        <v/>
      </c>
      <c r="H24" s="12" t="str">
        <f>IF(Identification!$B$11="","",VLOOKUP(Tableau2[[#This Row],[*No unique]],Tableau4[[No unique]:[Angle et oreille]],8,FALSE))</f>
        <v/>
      </c>
      <c r="I24" s="12" t="str">
        <f>IF(Identification!$B$11="","",VLOOKUP(Tableau2[[#This Row],[*No unique]],Tableau4[[No unique]:[Oreille]],7,FALSE))</f>
        <v/>
      </c>
      <c r="J24" s="12">
        <f>IF(G24="G",Calculs!$B$5,Calculs!$B$6)</f>
        <v>0</v>
      </c>
      <c r="K24" s="12">
        <f>IF(G24="G",Calculs!$C$5,Calculs!$C$6)</f>
        <v>0</v>
      </c>
      <c r="L24" s="26">
        <f>IF(Tableau2[[#This Row],[HP émetteur]]="G",Calculs!$B$12,Calculs!$B$13)</f>
        <v>0</v>
      </c>
      <c r="M24" s="26" t="e">
        <f>IF(Tableau2[[#This Row],[HP émetteur]]="G",-Calculs!$B$20,Calculs!$B$21)</f>
        <v>#DIV/0!</v>
      </c>
      <c r="N24" s="12"/>
      <c r="O24" s="12"/>
      <c r="P24" s="12"/>
      <c r="Q24" s="12">
        <f>IF(O24="Y",0,N24*Caractérisation!$C$19)</f>
        <v>0</v>
      </c>
      <c r="R24" s="12">
        <f>IF(O24="Y",N24*Caractérisation!$C$19,0)</f>
        <v>0</v>
      </c>
      <c r="S24" s="26">
        <f>SQRT((Tableau2[[#This Row],[*Px]]-Calculs!$B$8)^2+(Tableau2[[#This Row],[*Py]]^2))</f>
        <v>0</v>
      </c>
      <c r="T24" s="26">
        <f>SQRT((Calculs!$B$7-Tableau2[[#This Row],[*Px]])^2+(Tableau2[[#This Row],[*Py]]-Calculs!$C$7)^2)</f>
        <v>0</v>
      </c>
      <c r="U24" s="26" t="e">
        <f>DEGREES(ACOS((Calculs!$B$16^2+Tableau2[[#This Row],[*Dist C_P]]^2-Tableau2[[#This Row],[*Dist Cy0_P]]^2)/(2*Calculs!$B$16*Tableau2[[#This Row],[*Dist C_P]])))</f>
        <v>#DIV/0!</v>
      </c>
      <c r="V24" s="29" t="str">
        <f>IF(Caractérisation!$C$8="Gauche",-1,IF(Caractérisation!$C$8="Droite",1,"Erreur"))</f>
        <v>Erreur</v>
      </c>
      <c r="W24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24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24" s="26" t="str">
        <f>IF(Tableau2[[#This Row],[Erreur - Conf Av/Arr]]=0,Tableau2[[#This Row],[Réponse angulaire (degrés)]],"")</f>
        <v/>
      </c>
      <c r="Z24" s="26" t="str">
        <f>IFERROR(ABS(Tableau2[[#This Row],[Réponse angulaire (degrés)]]),"")</f>
        <v/>
      </c>
      <c r="AA24" s="26" t="str">
        <f t="shared" si="2"/>
        <v/>
      </c>
      <c r="AB24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24" s="29" t="str">
        <f>IFERROR(IF(ABS(Tableau2[[#This Row],[Réponse angulaire (degrés)]])&lt;=Identification!$B$13,1,0),"")</f>
        <v/>
      </c>
      <c r="AD24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24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24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24" s="68"/>
    </row>
    <row r="25" spans="1:33" x14ac:dyDescent="0.25">
      <c r="A25" s="18">
        <v>17</v>
      </c>
      <c r="B25" s="18" t="str">
        <f>Identification!$B$11&amp;'Entrée de données'!A25</f>
        <v>17</v>
      </c>
      <c r="C25" s="12" t="str">
        <f>IF(Identification!$B$11="","",VLOOKUP(Tableau2[[#This Row],[*No unique]],Tableau4[[No unique]:[Oreille]],3,FALSE))</f>
        <v/>
      </c>
      <c r="D25" s="12" t="str">
        <f>IF(Identification!$B$11="","",VLOOKUP(Tableau2[[#This Row],[*No unique]],Tableau4[[No unique]:[Oreille]],4,FALSE))</f>
        <v/>
      </c>
      <c r="E25" s="12" t="str">
        <f t="shared" si="0"/>
        <v/>
      </c>
      <c r="F25" s="12" t="str">
        <f t="shared" si="1"/>
        <v/>
      </c>
      <c r="G25" s="12" t="str">
        <f>IF(Identification!$B$11="","",VLOOKUP(Tableau2[[#This Row],[*No unique]],Tableau4[[No unique]:[Oreille]],5,FALSE))</f>
        <v/>
      </c>
      <c r="H25" s="12" t="str">
        <f>IF(Identification!$B$11="","",VLOOKUP(Tableau2[[#This Row],[*No unique]],Tableau4[[No unique]:[Angle et oreille]],8,FALSE))</f>
        <v/>
      </c>
      <c r="I25" s="12" t="str">
        <f>IF(Identification!$B$11="","",VLOOKUP(Tableau2[[#This Row],[*No unique]],Tableau4[[No unique]:[Oreille]],7,FALSE))</f>
        <v/>
      </c>
      <c r="J25" s="12">
        <f>IF(G25="G",Calculs!$B$5,Calculs!$B$6)</f>
        <v>0</v>
      </c>
      <c r="K25" s="12">
        <f>IF(G25="G",Calculs!$C$5,Calculs!$C$6)</f>
        <v>0</v>
      </c>
      <c r="L25" s="26">
        <f>IF(Tableau2[[#This Row],[HP émetteur]]="G",Calculs!$B$12,Calculs!$B$13)</f>
        <v>0</v>
      </c>
      <c r="M25" s="26" t="e">
        <f>IF(Tableau2[[#This Row],[HP émetteur]]="G",-Calculs!$B$20,Calculs!$B$21)</f>
        <v>#DIV/0!</v>
      </c>
      <c r="N25" s="12"/>
      <c r="O25" s="12"/>
      <c r="P25" s="12"/>
      <c r="Q25" s="12">
        <f>IF(O25="Y",0,N25*Caractérisation!$C$19)</f>
        <v>0</v>
      </c>
      <c r="R25" s="12">
        <f>IF(O25="Y",N25*Caractérisation!$C$19,0)</f>
        <v>0</v>
      </c>
      <c r="S25" s="26">
        <f>SQRT((Tableau2[[#This Row],[*Px]]-Calculs!$B$8)^2+(Tableau2[[#This Row],[*Py]]^2))</f>
        <v>0</v>
      </c>
      <c r="T25" s="26">
        <f>SQRT((Calculs!$B$7-Tableau2[[#This Row],[*Px]])^2+(Tableau2[[#This Row],[*Py]]-Calculs!$C$7)^2)</f>
        <v>0</v>
      </c>
      <c r="U25" s="26" t="e">
        <f>DEGREES(ACOS((Calculs!$B$16^2+Tableau2[[#This Row],[*Dist C_P]]^2-Tableau2[[#This Row],[*Dist Cy0_P]]^2)/(2*Calculs!$B$16*Tableau2[[#This Row],[*Dist C_P]])))</f>
        <v>#DIV/0!</v>
      </c>
      <c r="V25" s="29" t="str">
        <f>IF(Caractérisation!$C$8="Gauche",-1,IF(Caractérisation!$C$8="Droite",1,"Erreur"))</f>
        <v>Erreur</v>
      </c>
      <c r="W25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25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25" s="26" t="str">
        <f>IF(Tableau2[[#This Row],[Erreur - Conf Av/Arr]]=0,Tableau2[[#This Row],[Réponse angulaire (degrés)]],"")</f>
        <v/>
      </c>
      <c r="Z25" s="26" t="str">
        <f>IFERROR(ABS(Tableau2[[#This Row],[Réponse angulaire (degrés)]]),"")</f>
        <v/>
      </c>
      <c r="AA25" s="26" t="str">
        <f t="shared" si="2"/>
        <v/>
      </c>
      <c r="AB25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25" s="29" t="str">
        <f>IFERROR(IF(ABS(Tableau2[[#This Row],[Réponse angulaire (degrés)]])&lt;=Identification!$B$13,1,0),"")</f>
        <v/>
      </c>
      <c r="AD25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25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25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25" s="68"/>
    </row>
    <row r="26" spans="1:33" x14ac:dyDescent="0.25">
      <c r="A26" s="18">
        <v>18</v>
      </c>
      <c r="B26" s="18" t="str">
        <f>Identification!$B$11&amp;'Entrée de données'!A26</f>
        <v>18</v>
      </c>
      <c r="C26" s="12" t="str">
        <f>IF(Identification!$B$11="","",VLOOKUP(Tableau2[[#This Row],[*No unique]],Tableau4[[No unique]:[Oreille]],3,FALSE))</f>
        <v/>
      </c>
      <c r="D26" s="12" t="str">
        <f>IF(Identification!$B$11="","",VLOOKUP(Tableau2[[#This Row],[*No unique]],Tableau4[[No unique]:[Oreille]],4,FALSE))</f>
        <v/>
      </c>
      <c r="E26" s="12" t="str">
        <f t="shared" si="0"/>
        <v/>
      </c>
      <c r="F26" s="12" t="str">
        <f t="shared" si="1"/>
        <v/>
      </c>
      <c r="G26" s="12" t="str">
        <f>IF(Identification!$B$11="","",VLOOKUP(Tableau2[[#This Row],[*No unique]],Tableau4[[No unique]:[Oreille]],5,FALSE))</f>
        <v/>
      </c>
      <c r="H26" s="12" t="str">
        <f>IF(Identification!$B$11="","",VLOOKUP(Tableau2[[#This Row],[*No unique]],Tableau4[[No unique]:[Angle et oreille]],8,FALSE))</f>
        <v/>
      </c>
      <c r="I26" s="12" t="str">
        <f>IF(Identification!$B$11="","",VLOOKUP(Tableau2[[#This Row],[*No unique]],Tableau4[[No unique]:[Oreille]],7,FALSE))</f>
        <v/>
      </c>
      <c r="J26" s="12">
        <f>IF(G26="G",Calculs!$B$5,Calculs!$B$6)</f>
        <v>0</v>
      </c>
      <c r="K26" s="12">
        <f>IF(G26="G",Calculs!$C$5,Calculs!$C$6)</f>
        <v>0</v>
      </c>
      <c r="L26" s="26">
        <f>IF(Tableau2[[#This Row],[HP émetteur]]="G",Calculs!$B$12,Calculs!$B$13)</f>
        <v>0</v>
      </c>
      <c r="M26" s="26" t="e">
        <f>IF(Tableau2[[#This Row],[HP émetteur]]="G",-Calculs!$B$20,Calculs!$B$21)</f>
        <v>#DIV/0!</v>
      </c>
      <c r="N26" s="12"/>
      <c r="O26" s="12"/>
      <c r="P26" s="12"/>
      <c r="Q26" s="12">
        <f>IF(O26="Y",0,N26*Caractérisation!$C$19)</f>
        <v>0</v>
      </c>
      <c r="R26" s="12">
        <f>IF(O26="Y",N26*Caractérisation!$C$19,0)</f>
        <v>0</v>
      </c>
      <c r="S26" s="26">
        <f>SQRT((Tableau2[[#This Row],[*Px]]-Calculs!$B$8)^2+(Tableau2[[#This Row],[*Py]]^2))</f>
        <v>0</v>
      </c>
      <c r="T26" s="26">
        <f>SQRT((Calculs!$B$7-Tableau2[[#This Row],[*Px]])^2+(Tableau2[[#This Row],[*Py]]-Calculs!$C$7)^2)</f>
        <v>0</v>
      </c>
      <c r="U26" s="26" t="e">
        <f>DEGREES(ACOS((Calculs!$B$16^2+Tableau2[[#This Row],[*Dist C_P]]^2-Tableau2[[#This Row],[*Dist Cy0_P]]^2)/(2*Calculs!$B$16*Tableau2[[#This Row],[*Dist C_P]])))</f>
        <v>#DIV/0!</v>
      </c>
      <c r="V26" s="29" t="str">
        <f>IF(Caractérisation!$C$8="Gauche",-1,IF(Caractérisation!$C$8="Droite",1,"Erreur"))</f>
        <v>Erreur</v>
      </c>
      <c r="W26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26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26" s="26" t="str">
        <f>IF(Tableau2[[#This Row],[Erreur - Conf Av/Arr]]=0,Tableau2[[#This Row],[Réponse angulaire (degrés)]],"")</f>
        <v/>
      </c>
      <c r="Z26" s="26" t="str">
        <f>IFERROR(ABS(Tableau2[[#This Row],[Réponse angulaire (degrés)]]),"")</f>
        <v/>
      </c>
      <c r="AA26" s="26" t="str">
        <f t="shared" si="2"/>
        <v/>
      </c>
      <c r="AB26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26" s="29" t="str">
        <f>IFERROR(IF(ABS(Tableau2[[#This Row],[Réponse angulaire (degrés)]])&lt;=Identification!$B$13,1,0),"")</f>
        <v/>
      </c>
      <c r="AD26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26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26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26" s="68"/>
    </row>
    <row r="27" spans="1:33" x14ac:dyDescent="0.25">
      <c r="A27" s="18">
        <v>19</v>
      </c>
      <c r="B27" s="18" t="str">
        <f>Identification!$B$11&amp;'Entrée de données'!A27</f>
        <v>19</v>
      </c>
      <c r="C27" s="12" t="str">
        <f>IF(Identification!$B$11="","",VLOOKUP(Tableau2[[#This Row],[*No unique]],Tableau4[[No unique]:[Oreille]],3,FALSE))</f>
        <v/>
      </c>
      <c r="D27" s="12" t="str">
        <f>IF(Identification!$B$11="","",VLOOKUP(Tableau2[[#This Row],[*No unique]],Tableau4[[No unique]:[Oreille]],4,FALSE))</f>
        <v/>
      </c>
      <c r="E27" s="12" t="str">
        <f t="shared" si="0"/>
        <v/>
      </c>
      <c r="F27" s="12" t="str">
        <f t="shared" si="1"/>
        <v/>
      </c>
      <c r="G27" s="12" t="str">
        <f>IF(Identification!$B$11="","",VLOOKUP(Tableau2[[#This Row],[*No unique]],Tableau4[[No unique]:[Oreille]],5,FALSE))</f>
        <v/>
      </c>
      <c r="H27" s="12" t="str">
        <f>IF(Identification!$B$11="","",VLOOKUP(Tableau2[[#This Row],[*No unique]],Tableau4[[No unique]:[Angle et oreille]],8,FALSE))</f>
        <v/>
      </c>
      <c r="I27" s="12" t="str">
        <f>IF(Identification!$B$11="","",VLOOKUP(Tableau2[[#This Row],[*No unique]],Tableau4[[No unique]:[Oreille]],7,FALSE))</f>
        <v/>
      </c>
      <c r="J27" s="12">
        <f>IF(G27="G",Calculs!$B$5,Calculs!$B$6)</f>
        <v>0</v>
      </c>
      <c r="K27" s="12">
        <f>IF(G27="G",Calculs!$C$5,Calculs!$C$6)</f>
        <v>0</v>
      </c>
      <c r="L27" s="26">
        <f>IF(Tableau2[[#This Row],[HP émetteur]]="G",Calculs!$B$12,Calculs!$B$13)</f>
        <v>0</v>
      </c>
      <c r="M27" s="26" t="e">
        <f>IF(Tableau2[[#This Row],[HP émetteur]]="G",-Calculs!$B$20,Calculs!$B$21)</f>
        <v>#DIV/0!</v>
      </c>
      <c r="N27" s="12"/>
      <c r="O27" s="12"/>
      <c r="P27" s="12"/>
      <c r="Q27" s="12">
        <f>IF(O27="Y",0,N27*Caractérisation!$C$19)</f>
        <v>0</v>
      </c>
      <c r="R27" s="12">
        <f>IF(O27="Y",N27*Caractérisation!$C$19,0)</f>
        <v>0</v>
      </c>
      <c r="S27" s="26">
        <f>SQRT((Tableau2[[#This Row],[*Px]]-Calculs!$B$8)^2+(Tableau2[[#This Row],[*Py]]^2))</f>
        <v>0</v>
      </c>
      <c r="T27" s="26">
        <f>SQRT((Calculs!$B$7-Tableau2[[#This Row],[*Px]])^2+(Tableau2[[#This Row],[*Py]]-Calculs!$C$7)^2)</f>
        <v>0</v>
      </c>
      <c r="U27" s="26" t="e">
        <f>DEGREES(ACOS((Calculs!$B$16^2+Tableau2[[#This Row],[*Dist C_P]]^2-Tableau2[[#This Row],[*Dist Cy0_P]]^2)/(2*Calculs!$B$16*Tableau2[[#This Row],[*Dist C_P]])))</f>
        <v>#DIV/0!</v>
      </c>
      <c r="V27" s="29" t="str">
        <f>IF(Caractérisation!$C$8="Gauche",-1,IF(Caractérisation!$C$8="Droite",1,"Erreur"))</f>
        <v>Erreur</v>
      </c>
      <c r="W27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27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27" s="26" t="str">
        <f>IF(Tableau2[[#This Row],[Erreur - Conf Av/Arr]]=0,Tableau2[[#This Row],[Réponse angulaire (degrés)]],"")</f>
        <v/>
      </c>
      <c r="Z27" s="26" t="str">
        <f>IFERROR(ABS(Tableau2[[#This Row],[Réponse angulaire (degrés)]]),"")</f>
        <v/>
      </c>
      <c r="AA27" s="26" t="str">
        <f t="shared" si="2"/>
        <v/>
      </c>
      <c r="AB27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27" s="29" t="str">
        <f>IFERROR(IF(ABS(Tableau2[[#This Row],[Réponse angulaire (degrés)]])&lt;=Identification!$B$13,1,0),"")</f>
        <v/>
      </c>
      <c r="AD27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27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27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27" s="68"/>
    </row>
    <row r="28" spans="1:33" x14ac:dyDescent="0.25">
      <c r="A28" s="18">
        <v>20</v>
      </c>
      <c r="B28" s="18" t="str">
        <f>Identification!$B$11&amp;'Entrée de données'!A28</f>
        <v>20</v>
      </c>
      <c r="C28" s="12" t="str">
        <f>IF(Identification!$B$11="","",VLOOKUP(Tableau2[[#This Row],[*No unique]],Tableau4[[No unique]:[Oreille]],3,FALSE))</f>
        <v/>
      </c>
      <c r="D28" s="12" t="str">
        <f>IF(Identification!$B$11="","",VLOOKUP(Tableau2[[#This Row],[*No unique]],Tableau4[[No unique]:[Oreille]],4,FALSE))</f>
        <v/>
      </c>
      <c r="E28" s="12" t="str">
        <f t="shared" si="0"/>
        <v/>
      </c>
      <c r="F28" s="12" t="str">
        <f t="shared" si="1"/>
        <v/>
      </c>
      <c r="G28" s="12" t="str">
        <f>IF(Identification!$B$11="","",VLOOKUP(Tableau2[[#This Row],[*No unique]],Tableau4[[No unique]:[Oreille]],5,FALSE))</f>
        <v/>
      </c>
      <c r="H28" s="12" t="str">
        <f>IF(Identification!$B$11="","",VLOOKUP(Tableau2[[#This Row],[*No unique]],Tableau4[[No unique]:[Angle et oreille]],8,FALSE))</f>
        <v/>
      </c>
      <c r="I28" s="12" t="str">
        <f>IF(Identification!$B$11="","",VLOOKUP(Tableau2[[#This Row],[*No unique]],Tableau4[[No unique]:[Oreille]],7,FALSE))</f>
        <v/>
      </c>
      <c r="J28" s="12">
        <f>IF(G28="G",Calculs!$B$5,Calculs!$B$6)</f>
        <v>0</v>
      </c>
      <c r="K28" s="12">
        <f>IF(G28="G",Calculs!$C$5,Calculs!$C$6)</f>
        <v>0</v>
      </c>
      <c r="L28" s="26">
        <f>IF(Tableau2[[#This Row],[HP émetteur]]="G",Calculs!$B$12,Calculs!$B$13)</f>
        <v>0</v>
      </c>
      <c r="M28" s="26" t="e">
        <f>IF(Tableau2[[#This Row],[HP émetteur]]="G",-Calculs!$B$20,Calculs!$B$21)</f>
        <v>#DIV/0!</v>
      </c>
      <c r="N28" s="12"/>
      <c r="O28" s="12"/>
      <c r="P28" s="12"/>
      <c r="Q28" s="12">
        <f>IF(O28="Y",0,N28*Caractérisation!$C$19)</f>
        <v>0</v>
      </c>
      <c r="R28" s="12">
        <f>IF(O28="Y",N28*Caractérisation!$C$19,0)</f>
        <v>0</v>
      </c>
      <c r="S28" s="26">
        <f>SQRT((Tableau2[[#This Row],[*Px]]-Calculs!$B$8)^2+(Tableau2[[#This Row],[*Py]]^2))</f>
        <v>0</v>
      </c>
      <c r="T28" s="26">
        <f>SQRT((Calculs!$B$7-Tableau2[[#This Row],[*Px]])^2+(Tableau2[[#This Row],[*Py]]-Calculs!$C$7)^2)</f>
        <v>0</v>
      </c>
      <c r="U28" s="26" t="e">
        <f>DEGREES(ACOS((Calculs!$B$16^2+Tableau2[[#This Row],[*Dist C_P]]^2-Tableau2[[#This Row],[*Dist Cy0_P]]^2)/(2*Calculs!$B$16*Tableau2[[#This Row],[*Dist C_P]])))</f>
        <v>#DIV/0!</v>
      </c>
      <c r="V28" s="29" t="str">
        <f>IF(Caractérisation!$C$8="Gauche",-1,IF(Caractérisation!$C$8="Droite",1,"Erreur"))</f>
        <v>Erreur</v>
      </c>
      <c r="W28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28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28" s="26" t="str">
        <f>IF(Tableau2[[#This Row],[Erreur - Conf Av/Arr]]=0,Tableau2[[#This Row],[Réponse angulaire (degrés)]],"")</f>
        <v/>
      </c>
      <c r="Z28" s="26" t="str">
        <f>IFERROR(ABS(Tableau2[[#This Row],[Réponse angulaire (degrés)]]),"")</f>
        <v/>
      </c>
      <c r="AA28" s="26" t="str">
        <f t="shared" si="2"/>
        <v/>
      </c>
      <c r="AB28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28" s="29" t="str">
        <f>IFERROR(IF(ABS(Tableau2[[#This Row],[Réponse angulaire (degrés)]])&lt;=Identification!$B$13,1,0),"")</f>
        <v/>
      </c>
      <c r="AD28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28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28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28" s="68"/>
    </row>
    <row r="29" spans="1:33" x14ac:dyDescent="0.25">
      <c r="A29" s="18">
        <v>21</v>
      </c>
      <c r="B29" s="18" t="str">
        <f>Identification!$B$11&amp;'Entrée de données'!A29</f>
        <v>21</v>
      </c>
      <c r="C29" s="12" t="str">
        <f>IF(Identification!$B$11="","",VLOOKUP(Tableau2[[#This Row],[*No unique]],Tableau4[[No unique]:[Oreille]],3,FALSE))</f>
        <v/>
      </c>
      <c r="D29" s="12" t="str">
        <f>IF(Identification!$B$11="","",VLOOKUP(Tableau2[[#This Row],[*No unique]],Tableau4[[No unique]:[Oreille]],4,FALSE))</f>
        <v/>
      </c>
      <c r="E29" s="12" t="str">
        <f t="shared" si="0"/>
        <v/>
      </c>
      <c r="F29" s="12" t="str">
        <f t="shared" si="1"/>
        <v/>
      </c>
      <c r="G29" s="12" t="str">
        <f>IF(Identification!$B$11="","",VLOOKUP(Tableau2[[#This Row],[*No unique]],Tableau4[[No unique]:[Oreille]],5,FALSE))</f>
        <v/>
      </c>
      <c r="H29" s="12" t="str">
        <f>IF(Identification!$B$11="","",VLOOKUP(Tableau2[[#This Row],[*No unique]],Tableau4[[No unique]:[Angle et oreille]],8,FALSE))</f>
        <v/>
      </c>
      <c r="I29" s="12" t="str">
        <f>IF(Identification!$B$11="","",VLOOKUP(Tableau2[[#This Row],[*No unique]],Tableau4[[No unique]:[Oreille]],7,FALSE))</f>
        <v/>
      </c>
      <c r="J29" s="12">
        <f>IF(G29="G",Calculs!$B$5,Calculs!$B$6)</f>
        <v>0</v>
      </c>
      <c r="K29" s="12">
        <f>IF(G29="G",Calculs!$C$5,Calculs!$C$6)</f>
        <v>0</v>
      </c>
      <c r="L29" s="26">
        <f>IF(Tableau2[[#This Row],[HP émetteur]]="G",Calculs!$B$12,Calculs!$B$13)</f>
        <v>0</v>
      </c>
      <c r="M29" s="26" t="e">
        <f>IF(Tableau2[[#This Row],[HP émetteur]]="G",-Calculs!$B$20,Calculs!$B$21)</f>
        <v>#DIV/0!</v>
      </c>
      <c r="N29" s="12"/>
      <c r="O29" s="12"/>
      <c r="P29" s="12"/>
      <c r="Q29" s="12">
        <f>IF(O29="Y",0,N29*Caractérisation!$C$19)</f>
        <v>0</v>
      </c>
      <c r="R29" s="12">
        <f>IF(O29="Y",N29*Caractérisation!$C$19,0)</f>
        <v>0</v>
      </c>
      <c r="S29" s="26">
        <f>SQRT((Tableau2[[#This Row],[*Px]]-Calculs!$B$8)^2+(Tableau2[[#This Row],[*Py]]^2))</f>
        <v>0</v>
      </c>
      <c r="T29" s="26">
        <f>SQRT((Calculs!$B$7-Tableau2[[#This Row],[*Px]])^2+(Tableau2[[#This Row],[*Py]]-Calculs!$C$7)^2)</f>
        <v>0</v>
      </c>
      <c r="U29" s="26" t="e">
        <f>DEGREES(ACOS((Calculs!$B$16^2+Tableau2[[#This Row],[*Dist C_P]]^2-Tableau2[[#This Row],[*Dist Cy0_P]]^2)/(2*Calculs!$B$16*Tableau2[[#This Row],[*Dist C_P]])))</f>
        <v>#DIV/0!</v>
      </c>
      <c r="V29" s="29" t="str">
        <f>IF(Caractérisation!$C$8="Gauche",-1,IF(Caractérisation!$C$8="Droite",1,"Erreur"))</f>
        <v>Erreur</v>
      </c>
      <c r="W29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29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29" s="26" t="str">
        <f>IF(Tableau2[[#This Row],[Erreur - Conf Av/Arr]]=0,Tableau2[[#This Row],[Réponse angulaire (degrés)]],"")</f>
        <v/>
      </c>
      <c r="Z29" s="26" t="str">
        <f>IFERROR(ABS(Tableau2[[#This Row],[Réponse angulaire (degrés)]]),"")</f>
        <v/>
      </c>
      <c r="AA29" s="26" t="str">
        <f t="shared" si="2"/>
        <v/>
      </c>
      <c r="AB29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29" s="29" t="str">
        <f>IFERROR(IF(ABS(Tableau2[[#This Row],[Réponse angulaire (degrés)]])&lt;=Identification!$B$13,1,0),"")</f>
        <v/>
      </c>
      <c r="AD29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29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29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29" s="68"/>
    </row>
    <row r="30" spans="1:33" x14ac:dyDescent="0.25">
      <c r="A30" s="18">
        <v>22</v>
      </c>
      <c r="B30" s="18" t="str">
        <f>Identification!$B$11&amp;'Entrée de données'!A30</f>
        <v>22</v>
      </c>
      <c r="C30" s="12" t="str">
        <f>IF(Identification!$B$11="","",VLOOKUP(Tableau2[[#This Row],[*No unique]],Tableau4[[No unique]:[Oreille]],3,FALSE))</f>
        <v/>
      </c>
      <c r="D30" s="12" t="str">
        <f>IF(Identification!$B$11="","",VLOOKUP(Tableau2[[#This Row],[*No unique]],Tableau4[[No unique]:[Oreille]],4,FALSE))</f>
        <v/>
      </c>
      <c r="E30" s="12" t="str">
        <f t="shared" si="0"/>
        <v/>
      </c>
      <c r="F30" s="12" t="str">
        <f t="shared" si="1"/>
        <v/>
      </c>
      <c r="G30" s="12" t="str">
        <f>IF(Identification!$B$11="","",VLOOKUP(Tableau2[[#This Row],[*No unique]],Tableau4[[No unique]:[Oreille]],5,FALSE))</f>
        <v/>
      </c>
      <c r="H30" s="12" t="str">
        <f>IF(Identification!$B$11="","",VLOOKUP(Tableau2[[#This Row],[*No unique]],Tableau4[[No unique]:[Angle et oreille]],8,FALSE))</f>
        <v/>
      </c>
      <c r="I30" s="12" t="str">
        <f>IF(Identification!$B$11="","",VLOOKUP(Tableau2[[#This Row],[*No unique]],Tableau4[[No unique]:[Oreille]],7,FALSE))</f>
        <v/>
      </c>
      <c r="J30" s="12">
        <f>IF(G30="G",Calculs!$B$5,Calculs!$B$6)</f>
        <v>0</v>
      </c>
      <c r="K30" s="12">
        <f>IF(G30="G",Calculs!$C$5,Calculs!$C$6)</f>
        <v>0</v>
      </c>
      <c r="L30" s="26">
        <f>IF(Tableau2[[#This Row],[HP émetteur]]="G",Calculs!$B$12,Calculs!$B$13)</f>
        <v>0</v>
      </c>
      <c r="M30" s="26" t="e">
        <f>IF(Tableau2[[#This Row],[HP émetteur]]="G",-Calculs!$B$20,Calculs!$B$21)</f>
        <v>#DIV/0!</v>
      </c>
      <c r="N30" s="12"/>
      <c r="O30" s="12"/>
      <c r="P30" s="12"/>
      <c r="Q30" s="12">
        <f>IF(O30="Y",0,N30*Caractérisation!$C$19)</f>
        <v>0</v>
      </c>
      <c r="R30" s="12">
        <f>IF(O30="Y",N30*Caractérisation!$C$19,0)</f>
        <v>0</v>
      </c>
      <c r="S30" s="26">
        <f>SQRT((Tableau2[[#This Row],[*Px]]-Calculs!$B$8)^2+(Tableau2[[#This Row],[*Py]]^2))</f>
        <v>0</v>
      </c>
      <c r="T30" s="26">
        <f>SQRT((Calculs!$B$7-Tableau2[[#This Row],[*Px]])^2+(Tableau2[[#This Row],[*Py]]-Calculs!$C$7)^2)</f>
        <v>0</v>
      </c>
      <c r="U30" s="26" t="e">
        <f>DEGREES(ACOS((Calculs!$B$16^2+Tableau2[[#This Row],[*Dist C_P]]^2-Tableau2[[#This Row],[*Dist Cy0_P]]^2)/(2*Calculs!$B$16*Tableau2[[#This Row],[*Dist C_P]])))</f>
        <v>#DIV/0!</v>
      </c>
      <c r="V30" s="29" t="str">
        <f>IF(Caractérisation!$C$8="Gauche",-1,IF(Caractérisation!$C$8="Droite",1,"Erreur"))</f>
        <v>Erreur</v>
      </c>
      <c r="W30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30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30" s="26" t="str">
        <f>IF(Tableau2[[#This Row],[Erreur - Conf Av/Arr]]=0,Tableau2[[#This Row],[Réponse angulaire (degrés)]],"")</f>
        <v/>
      </c>
      <c r="Z30" s="26" t="str">
        <f>IFERROR(ABS(Tableau2[[#This Row],[Réponse angulaire (degrés)]]),"")</f>
        <v/>
      </c>
      <c r="AA30" s="26" t="str">
        <f t="shared" si="2"/>
        <v/>
      </c>
      <c r="AB30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30" s="29" t="str">
        <f>IFERROR(IF(ABS(Tableau2[[#This Row],[Réponse angulaire (degrés)]])&lt;=Identification!$B$13,1,0),"")</f>
        <v/>
      </c>
      <c r="AD30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30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30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30" s="68"/>
    </row>
    <row r="31" spans="1:33" x14ac:dyDescent="0.25">
      <c r="A31" s="18">
        <v>23</v>
      </c>
      <c r="B31" s="18" t="str">
        <f>Identification!$B$11&amp;'Entrée de données'!A31</f>
        <v>23</v>
      </c>
      <c r="C31" s="12" t="str">
        <f>IF(Identification!$B$11="","",VLOOKUP(Tableau2[[#This Row],[*No unique]],Tableau4[[No unique]:[Oreille]],3,FALSE))</f>
        <v/>
      </c>
      <c r="D31" s="12" t="str">
        <f>IF(Identification!$B$11="","",VLOOKUP(Tableau2[[#This Row],[*No unique]],Tableau4[[No unique]:[Oreille]],4,FALSE))</f>
        <v/>
      </c>
      <c r="E31" s="12" t="str">
        <f t="shared" si="0"/>
        <v/>
      </c>
      <c r="F31" s="12" t="str">
        <f t="shared" si="1"/>
        <v/>
      </c>
      <c r="G31" s="12" t="str">
        <f>IF(Identification!$B$11="","",VLOOKUP(Tableau2[[#This Row],[*No unique]],Tableau4[[No unique]:[Oreille]],5,FALSE))</f>
        <v/>
      </c>
      <c r="H31" s="12" t="str">
        <f>IF(Identification!$B$11="","",VLOOKUP(Tableau2[[#This Row],[*No unique]],Tableau4[[No unique]:[Angle et oreille]],8,FALSE))</f>
        <v/>
      </c>
      <c r="I31" s="12" t="str">
        <f>IF(Identification!$B$11="","",VLOOKUP(Tableau2[[#This Row],[*No unique]],Tableau4[[No unique]:[Oreille]],7,FALSE))</f>
        <v/>
      </c>
      <c r="J31" s="12">
        <f>IF(G31="G",Calculs!$B$5,Calculs!$B$6)</f>
        <v>0</v>
      </c>
      <c r="K31" s="12">
        <f>IF(G31="G",Calculs!$C$5,Calculs!$C$6)</f>
        <v>0</v>
      </c>
      <c r="L31" s="26">
        <f>IF(Tableau2[[#This Row],[HP émetteur]]="G",Calculs!$B$12,Calculs!$B$13)</f>
        <v>0</v>
      </c>
      <c r="M31" s="26" t="e">
        <f>IF(Tableau2[[#This Row],[HP émetteur]]="G",-Calculs!$B$20,Calculs!$B$21)</f>
        <v>#DIV/0!</v>
      </c>
      <c r="N31" s="12"/>
      <c r="O31" s="12"/>
      <c r="P31" s="12"/>
      <c r="Q31" s="12">
        <f>IF(O31="Y",0,N31*Caractérisation!$C$19)</f>
        <v>0</v>
      </c>
      <c r="R31" s="12">
        <f>IF(O31="Y",N31*Caractérisation!$C$19,0)</f>
        <v>0</v>
      </c>
      <c r="S31" s="26">
        <f>SQRT((Tableau2[[#This Row],[*Px]]-Calculs!$B$8)^2+(Tableau2[[#This Row],[*Py]]^2))</f>
        <v>0</v>
      </c>
      <c r="T31" s="26">
        <f>SQRT((Calculs!$B$7-Tableau2[[#This Row],[*Px]])^2+(Tableau2[[#This Row],[*Py]]-Calculs!$C$7)^2)</f>
        <v>0</v>
      </c>
      <c r="U31" s="26" t="e">
        <f>DEGREES(ACOS((Calculs!$B$16^2+Tableau2[[#This Row],[*Dist C_P]]^2-Tableau2[[#This Row],[*Dist Cy0_P]]^2)/(2*Calculs!$B$16*Tableau2[[#This Row],[*Dist C_P]])))</f>
        <v>#DIV/0!</v>
      </c>
      <c r="V31" s="29" t="str">
        <f>IF(Caractérisation!$C$8="Gauche",-1,IF(Caractérisation!$C$8="Droite",1,"Erreur"))</f>
        <v>Erreur</v>
      </c>
      <c r="W31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31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31" s="26" t="str">
        <f>IF(Tableau2[[#This Row],[Erreur - Conf Av/Arr]]=0,Tableau2[[#This Row],[Réponse angulaire (degrés)]],"")</f>
        <v/>
      </c>
      <c r="Z31" s="26" t="str">
        <f>IFERROR(ABS(Tableau2[[#This Row],[Réponse angulaire (degrés)]]),"")</f>
        <v/>
      </c>
      <c r="AA31" s="26" t="str">
        <f t="shared" si="2"/>
        <v/>
      </c>
      <c r="AB31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31" s="29" t="str">
        <f>IFERROR(IF(ABS(Tableau2[[#This Row],[Réponse angulaire (degrés)]])&lt;=Identification!$B$13,1,0),"")</f>
        <v/>
      </c>
      <c r="AD31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31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31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31" s="68"/>
    </row>
    <row r="32" spans="1:33" x14ac:dyDescent="0.25">
      <c r="A32" s="18">
        <v>24</v>
      </c>
      <c r="B32" s="18" t="str">
        <f>Identification!$B$11&amp;'Entrée de données'!A32</f>
        <v>24</v>
      </c>
      <c r="C32" s="12" t="str">
        <f>IF(Identification!$B$11="","",VLOOKUP(Tableau2[[#This Row],[*No unique]],Tableau4[[No unique]:[Oreille]],3,FALSE))</f>
        <v/>
      </c>
      <c r="D32" s="12" t="str">
        <f>IF(Identification!$B$11="","",VLOOKUP(Tableau2[[#This Row],[*No unique]],Tableau4[[No unique]:[Oreille]],4,FALSE))</f>
        <v/>
      </c>
      <c r="E32" s="12" t="str">
        <f t="shared" si="0"/>
        <v/>
      </c>
      <c r="F32" s="12" t="str">
        <f t="shared" si="1"/>
        <v/>
      </c>
      <c r="G32" s="12" t="str">
        <f>IF(Identification!$B$11="","",VLOOKUP(Tableau2[[#This Row],[*No unique]],Tableau4[[No unique]:[Oreille]],5,FALSE))</f>
        <v/>
      </c>
      <c r="H32" s="12" t="str">
        <f>IF(Identification!$B$11="","",VLOOKUP(Tableau2[[#This Row],[*No unique]],Tableau4[[No unique]:[Angle et oreille]],8,FALSE))</f>
        <v/>
      </c>
      <c r="I32" s="12" t="str">
        <f>IF(Identification!$B$11="","",VLOOKUP(Tableau2[[#This Row],[*No unique]],Tableau4[[No unique]:[Oreille]],7,FALSE))</f>
        <v/>
      </c>
      <c r="J32" s="12">
        <f>IF(G32="G",Calculs!$B$5,Calculs!$B$6)</f>
        <v>0</v>
      </c>
      <c r="K32" s="12">
        <f>IF(G32="G",Calculs!$C$5,Calculs!$C$6)</f>
        <v>0</v>
      </c>
      <c r="L32" s="26">
        <f>IF(Tableau2[[#This Row],[HP émetteur]]="G",Calculs!$B$12,Calculs!$B$13)</f>
        <v>0</v>
      </c>
      <c r="M32" s="26" t="e">
        <f>IF(Tableau2[[#This Row],[HP émetteur]]="G",-Calculs!$B$20,Calculs!$B$21)</f>
        <v>#DIV/0!</v>
      </c>
      <c r="N32" s="12"/>
      <c r="O32" s="12"/>
      <c r="P32" s="12"/>
      <c r="Q32" s="12">
        <f>IF(O32="Y",0,N32*Caractérisation!$C$19)</f>
        <v>0</v>
      </c>
      <c r="R32" s="12">
        <f>IF(O32="Y",N32*Caractérisation!$C$19,0)</f>
        <v>0</v>
      </c>
      <c r="S32" s="26">
        <f>SQRT((Tableau2[[#This Row],[*Px]]-Calculs!$B$8)^2+(Tableau2[[#This Row],[*Py]]^2))</f>
        <v>0</v>
      </c>
      <c r="T32" s="26">
        <f>SQRT((Calculs!$B$7-Tableau2[[#This Row],[*Px]])^2+(Tableau2[[#This Row],[*Py]]-Calculs!$C$7)^2)</f>
        <v>0</v>
      </c>
      <c r="U32" s="26" t="e">
        <f>DEGREES(ACOS((Calculs!$B$16^2+Tableau2[[#This Row],[*Dist C_P]]^2-Tableau2[[#This Row],[*Dist Cy0_P]]^2)/(2*Calculs!$B$16*Tableau2[[#This Row],[*Dist C_P]])))</f>
        <v>#DIV/0!</v>
      </c>
      <c r="V32" s="29" t="str">
        <f>IF(Caractérisation!$C$8="Gauche",-1,IF(Caractérisation!$C$8="Droite",1,"Erreur"))</f>
        <v>Erreur</v>
      </c>
      <c r="W32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32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32" s="26" t="str">
        <f>IF(Tableau2[[#This Row],[Erreur - Conf Av/Arr]]=0,Tableau2[[#This Row],[Réponse angulaire (degrés)]],"")</f>
        <v/>
      </c>
      <c r="Z32" s="26" t="str">
        <f>IFERROR(ABS(Tableau2[[#This Row],[Réponse angulaire (degrés)]]),"")</f>
        <v/>
      </c>
      <c r="AA32" s="26" t="str">
        <f t="shared" si="2"/>
        <v/>
      </c>
      <c r="AB32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32" s="29" t="str">
        <f>IFERROR(IF(ABS(Tableau2[[#This Row],[Réponse angulaire (degrés)]])&lt;=Identification!$B$13,1,0),"")</f>
        <v/>
      </c>
      <c r="AD32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32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32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32" s="68"/>
    </row>
    <row r="33" spans="1:33" x14ac:dyDescent="0.25">
      <c r="A33" s="18">
        <v>25</v>
      </c>
      <c r="B33" s="18" t="str">
        <f>Identification!$B$11&amp;'Entrée de données'!A33</f>
        <v>25</v>
      </c>
      <c r="C33" s="12" t="str">
        <f>IF(Identification!$B$11="","",VLOOKUP(Tableau2[[#This Row],[*No unique]],Tableau4[[No unique]:[Oreille]],3,FALSE))</f>
        <v/>
      </c>
      <c r="D33" s="12" t="str">
        <f>IF(Identification!$B$11="","",VLOOKUP(Tableau2[[#This Row],[*No unique]],Tableau4[[No unique]:[Oreille]],4,FALSE))</f>
        <v/>
      </c>
      <c r="E33" s="12" t="str">
        <f t="shared" si="0"/>
        <v/>
      </c>
      <c r="F33" s="12" t="str">
        <f t="shared" si="1"/>
        <v/>
      </c>
      <c r="G33" s="12" t="str">
        <f>IF(Identification!$B$11="","",VLOOKUP(Tableau2[[#This Row],[*No unique]],Tableau4[[No unique]:[Oreille]],5,FALSE))</f>
        <v/>
      </c>
      <c r="H33" s="12" t="str">
        <f>IF(Identification!$B$11="","",VLOOKUP(Tableau2[[#This Row],[*No unique]],Tableau4[[No unique]:[Angle et oreille]],8,FALSE))</f>
        <v/>
      </c>
      <c r="I33" s="12" t="str">
        <f>IF(Identification!$B$11="","",VLOOKUP(Tableau2[[#This Row],[*No unique]],Tableau4[[No unique]:[Oreille]],7,FALSE))</f>
        <v/>
      </c>
      <c r="J33" s="12">
        <f>IF(G33="G",Calculs!$B$5,Calculs!$B$6)</f>
        <v>0</v>
      </c>
      <c r="K33" s="12">
        <f>IF(G33="G",Calculs!$C$5,Calculs!$C$6)</f>
        <v>0</v>
      </c>
      <c r="L33" s="26">
        <f>IF(Tableau2[[#This Row],[HP émetteur]]="G",Calculs!$B$12,Calculs!$B$13)</f>
        <v>0</v>
      </c>
      <c r="M33" s="26" t="e">
        <f>IF(Tableau2[[#This Row],[HP émetteur]]="G",-Calculs!$B$20,Calculs!$B$21)</f>
        <v>#DIV/0!</v>
      </c>
      <c r="N33" s="12"/>
      <c r="O33" s="12"/>
      <c r="P33" s="12"/>
      <c r="Q33" s="12">
        <f>IF(O33="Y",0,N33*Caractérisation!$C$19)</f>
        <v>0</v>
      </c>
      <c r="R33" s="12">
        <f>IF(O33="Y",N33*Caractérisation!$C$19,0)</f>
        <v>0</v>
      </c>
      <c r="S33" s="26">
        <f>SQRT((Tableau2[[#This Row],[*Px]]-Calculs!$B$8)^2+(Tableau2[[#This Row],[*Py]]^2))</f>
        <v>0</v>
      </c>
      <c r="T33" s="26">
        <f>SQRT((Calculs!$B$7-Tableau2[[#This Row],[*Px]])^2+(Tableau2[[#This Row],[*Py]]-Calculs!$C$7)^2)</f>
        <v>0</v>
      </c>
      <c r="U33" s="26" t="e">
        <f>DEGREES(ACOS((Calculs!$B$16^2+Tableau2[[#This Row],[*Dist C_P]]^2-Tableau2[[#This Row],[*Dist Cy0_P]]^2)/(2*Calculs!$B$16*Tableau2[[#This Row],[*Dist C_P]])))</f>
        <v>#DIV/0!</v>
      </c>
      <c r="V33" s="29" t="str">
        <f>IF(Caractérisation!$C$8="Gauche",-1,IF(Caractérisation!$C$8="Droite",1,"Erreur"))</f>
        <v>Erreur</v>
      </c>
      <c r="W33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33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33" s="26" t="str">
        <f>IF(Tableau2[[#This Row],[Erreur - Conf Av/Arr]]=0,Tableau2[[#This Row],[Réponse angulaire (degrés)]],"")</f>
        <v/>
      </c>
      <c r="Z33" s="26" t="str">
        <f>IFERROR(ABS(Tableau2[[#This Row],[Réponse angulaire (degrés)]]),"")</f>
        <v/>
      </c>
      <c r="AA33" s="26" t="str">
        <f t="shared" si="2"/>
        <v/>
      </c>
      <c r="AB33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33" s="29" t="str">
        <f>IFERROR(IF(ABS(Tableau2[[#This Row],[Réponse angulaire (degrés)]])&lt;=Identification!$B$13,1,0),"")</f>
        <v/>
      </c>
      <c r="AD33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33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33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33" s="68"/>
    </row>
    <row r="34" spans="1:33" x14ac:dyDescent="0.25">
      <c r="A34" s="18">
        <v>26</v>
      </c>
      <c r="B34" s="18" t="str">
        <f>Identification!$B$11&amp;'Entrée de données'!A34</f>
        <v>26</v>
      </c>
      <c r="C34" s="12" t="str">
        <f>IF(Identification!$B$11="","",VLOOKUP(Tableau2[[#This Row],[*No unique]],Tableau4[[No unique]:[Oreille]],3,FALSE))</f>
        <v/>
      </c>
      <c r="D34" s="12" t="str">
        <f>IF(Identification!$B$11="","",VLOOKUP(Tableau2[[#This Row],[*No unique]],Tableau4[[No unique]:[Oreille]],4,FALSE))</f>
        <v/>
      </c>
      <c r="E34" s="12" t="str">
        <f t="shared" si="0"/>
        <v/>
      </c>
      <c r="F34" s="12" t="str">
        <f t="shared" si="1"/>
        <v/>
      </c>
      <c r="G34" s="12" t="str">
        <f>IF(Identification!$B$11="","",VLOOKUP(Tableau2[[#This Row],[*No unique]],Tableau4[[No unique]:[Oreille]],5,FALSE))</f>
        <v/>
      </c>
      <c r="H34" s="12" t="str">
        <f>IF(Identification!$B$11="","",VLOOKUP(Tableau2[[#This Row],[*No unique]],Tableau4[[No unique]:[Angle et oreille]],8,FALSE))</f>
        <v/>
      </c>
      <c r="I34" s="12" t="str">
        <f>IF(Identification!$B$11="","",VLOOKUP(Tableau2[[#This Row],[*No unique]],Tableau4[[No unique]:[Oreille]],7,FALSE))</f>
        <v/>
      </c>
      <c r="J34" s="12">
        <f>IF(G34="G",Calculs!$B$5,Calculs!$B$6)</f>
        <v>0</v>
      </c>
      <c r="K34" s="12">
        <f>IF(G34="G",Calculs!$C$5,Calculs!$C$6)</f>
        <v>0</v>
      </c>
      <c r="L34" s="26">
        <f>IF(Tableau2[[#This Row],[HP émetteur]]="G",Calculs!$B$12,Calculs!$B$13)</f>
        <v>0</v>
      </c>
      <c r="M34" s="26" t="e">
        <f>IF(Tableau2[[#This Row],[HP émetteur]]="G",-Calculs!$B$20,Calculs!$B$21)</f>
        <v>#DIV/0!</v>
      </c>
      <c r="N34" s="12"/>
      <c r="O34" s="12"/>
      <c r="P34" s="12"/>
      <c r="Q34" s="12">
        <f>IF(O34="Y",0,N34*Caractérisation!$C$19)</f>
        <v>0</v>
      </c>
      <c r="R34" s="12">
        <f>IF(O34="Y",N34*Caractérisation!$C$19,0)</f>
        <v>0</v>
      </c>
      <c r="S34" s="26">
        <f>SQRT((Tableau2[[#This Row],[*Px]]-Calculs!$B$8)^2+(Tableau2[[#This Row],[*Py]]^2))</f>
        <v>0</v>
      </c>
      <c r="T34" s="26">
        <f>SQRT((Calculs!$B$7-Tableau2[[#This Row],[*Px]])^2+(Tableau2[[#This Row],[*Py]]-Calculs!$C$7)^2)</f>
        <v>0</v>
      </c>
      <c r="U34" s="26" t="e">
        <f>DEGREES(ACOS((Calculs!$B$16^2+Tableau2[[#This Row],[*Dist C_P]]^2-Tableau2[[#This Row],[*Dist Cy0_P]]^2)/(2*Calculs!$B$16*Tableau2[[#This Row],[*Dist C_P]])))</f>
        <v>#DIV/0!</v>
      </c>
      <c r="V34" s="29" t="str">
        <f>IF(Caractérisation!$C$8="Gauche",-1,IF(Caractérisation!$C$8="Droite",1,"Erreur"))</f>
        <v>Erreur</v>
      </c>
      <c r="W34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34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34" s="26" t="str">
        <f>IF(Tableau2[[#This Row],[Erreur - Conf Av/Arr]]=0,Tableau2[[#This Row],[Réponse angulaire (degrés)]],"")</f>
        <v/>
      </c>
      <c r="Z34" s="26" t="str">
        <f>IFERROR(ABS(Tableau2[[#This Row],[Réponse angulaire (degrés)]]),"")</f>
        <v/>
      </c>
      <c r="AA34" s="26" t="str">
        <f t="shared" si="2"/>
        <v/>
      </c>
      <c r="AB34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34" s="29" t="str">
        <f>IFERROR(IF(ABS(Tableau2[[#This Row],[Réponse angulaire (degrés)]])&lt;=Identification!$B$13,1,0),"")</f>
        <v/>
      </c>
      <c r="AD34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34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34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34" s="68"/>
    </row>
    <row r="35" spans="1:33" x14ac:dyDescent="0.25">
      <c r="A35" s="18">
        <v>27</v>
      </c>
      <c r="B35" s="18" t="str">
        <f>Identification!$B$11&amp;'Entrée de données'!A35</f>
        <v>27</v>
      </c>
      <c r="C35" s="12" t="str">
        <f>IF(Identification!$B$11="","",VLOOKUP(Tableau2[[#This Row],[*No unique]],Tableau4[[No unique]:[Oreille]],3,FALSE))</f>
        <v/>
      </c>
      <c r="D35" s="12" t="str">
        <f>IF(Identification!$B$11="","",VLOOKUP(Tableau2[[#This Row],[*No unique]],Tableau4[[No unique]:[Oreille]],4,FALSE))</f>
        <v/>
      </c>
      <c r="E35" s="12" t="str">
        <f t="shared" si="0"/>
        <v/>
      </c>
      <c r="F35" s="12" t="str">
        <f t="shared" si="1"/>
        <v/>
      </c>
      <c r="G35" s="12" t="str">
        <f>IF(Identification!$B$11="","",VLOOKUP(Tableau2[[#This Row],[*No unique]],Tableau4[[No unique]:[Oreille]],5,FALSE))</f>
        <v/>
      </c>
      <c r="H35" s="12" t="str">
        <f>IF(Identification!$B$11="","",VLOOKUP(Tableau2[[#This Row],[*No unique]],Tableau4[[No unique]:[Angle et oreille]],8,FALSE))</f>
        <v/>
      </c>
      <c r="I35" s="12" t="str">
        <f>IF(Identification!$B$11="","",VLOOKUP(Tableau2[[#This Row],[*No unique]],Tableau4[[No unique]:[Oreille]],7,FALSE))</f>
        <v/>
      </c>
      <c r="J35" s="12">
        <f>IF(G35="G",Calculs!$B$5,Calculs!$B$6)</f>
        <v>0</v>
      </c>
      <c r="K35" s="12">
        <f>IF(G35="G",Calculs!$C$5,Calculs!$C$6)</f>
        <v>0</v>
      </c>
      <c r="L35" s="26">
        <f>IF(Tableau2[[#This Row],[HP émetteur]]="G",Calculs!$B$12,Calculs!$B$13)</f>
        <v>0</v>
      </c>
      <c r="M35" s="26" t="e">
        <f>IF(Tableau2[[#This Row],[HP émetteur]]="G",-Calculs!$B$20,Calculs!$B$21)</f>
        <v>#DIV/0!</v>
      </c>
      <c r="N35" s="12"/>
      <c r="O35" s="12"/>
      <c r="P35" s="12"/>
      <c r="Q35" s="12">
        <f>IF(O35="Y",0,N35*Caractérisation!$C$19)</f>
        <v>0</v>
      </c>
      <c r="R35" s="12">
        <f>IF(O35="Y",N35*Caractérisation!$C$19,0)</f>
        <v>0</v>
      </c>
      <c r="S35" s="26">
        <f>SQRT((Tableau2[[#This Row],[*Px]]-Calculs!$B$8)^2+(Tableau2[[#This Row],[*Py]]^2))</f>
        <v>0</v>
      </c>
      <c r="T35" s="26">
        <f>SQRT((Calculs!$B$7-Tableau2[[#This Row],[*Px]])^2+(Tableau2[[#This Row],[*Py]]-Calculs!$C$7)^2)</f>
        <v>0</v>
      </c>
      <c r="U35" s="26" t="e">
        <f>DEGREES(ACOS((Calculs!$B$16^2+Tableau2[[#This Row],[*Dist C_P]]^2-Tableau2[[#This Row],[*Dist Cy0_P]]^2)/(2*Calculs!$B$16*Tableau2[[#This Row],[*Dist C_P]])))</f>
        <v>#DIV/0!</v>
      </c>
      <c r="V35" s="29" t="str">
        <f>IF(Caractérisation!$C$8="Gauche",-1,IF(Caractérisation!$C$8="Droite",1,"Erreur"))</f>
        <v>Erreur</v>
      </c>
      <c r="W35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35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35" s="26" t="str">
        <f>IF(Tableau2[[#This Row],[Erreur - Conf Av/Arr]]=0,Tableau2[[#This Row],[Réponse angulaire (degrés)]],"")</f>
        <v/>
      </c>
      <c r="Z35" s="26" t="str">
        <f>IFERROR(ABS(Tableau2[[#This Row],[Réponse angulaire (degrés)]]),"")</f>
        <v/>
      </c>
      <c r="AA35" s="26" t="str">
        <f t="shared" si="2"/>
        <v/>
      </c>
      <c r="AB35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35" s="29" t="str">
        <f>IFERROR(IF(ABS(Tableau2[[#This Row],[Réponse angulaire (degrés)]])&lt;=Identification!$B$13,1,0),"")</f>
        <v/>
      </c>
      <c r="AD35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35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35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35" s="68"/>
    </row>
    <row r="36" spans="1:33" x14ac:dyDescent="0.25">
      <c r="A36" s="18">
        <v>28</v>
      </c>
      <c r="B36" s="18" t="str">
        <f>Identification!$B$11&amp;'Entrée de données'!A36</f>
        <v>28</v>
      </c>
      <c r="C36" s="12" t="str">
        <f>IF(Identification!$B$11="","",VLOOKUP(Tableau2[[#This Row],[*No unique]],Tableau4[[No unique]:[Oreille]],3,FALSE))</f>
        <v/>
      </c>
      <c r="D36" s="12" t="str">
        <f>IF(Identification!$B$11="","",VLOOKUP(Tableau2[[#This Row],[*No unique]],Tableau4[[No unique]:[Oreille]],4,FALSE))</f>
        <v/>
      </c>
      <c r="E36" s="12" t="str">
        <f t="shared" si="0"/>
        <v/>
      </c>
      <c r="F36" s="12" t="str">
        <f t="shared" si="1"/>
        <v/>
      </c>
      <c r="G36" s="12" t="str">
        <f>IF(Identification!$B$11="","",VLOOKUP(Tableau2[[#This Row],[*No unique]],Tableau4[[No unique]:[Oreille]],5,FALSE))</f>
        <v/>
      </c>
      <c r="H36" s="12" t="str">
        <f>IF(Identification!$B$11="","",VLOOKUP(Tableau2[[#This Row],[*No unique]],Tableau4[[No unique]:[Angle et oreille]],8,FALSE))</f>
        <v/>
      </c>
      <c r="I36" s="12" t="str">
        <f>IF(Identification!$B$11="","",VLOOKUP(Tableau2[[#This Row],[*No unique]],Tableau4[[No unique]:[Oreille]],7,FALSE))</f>
        <v/>
      </c>
      <c r="J36" s="12">
        <f>IF(G36="G",Calculs!$B$5,Calculs!$B$6)</f>
        <v>0</v>
      </c>
      <c r="K36" s="12">
        <f>IF(G36="G",Calculs!$C$5,Calculs!$C$6)</f>
        <v>0</v>
      </c>
      <c r="L36" s="26">
        <f>IF(Tableau2[[#This Row],[HP émetteur]]="G",Calculs!$B$12,Calculs!$B$13)</f>
        <v>0</v>
      </c>
      <c r="M36" s="26" t="e">
        <f>IF(Tableau2[[#This Row],[HP émetteur]]="G",-Calculs!$B$20,Calculs!$B$21)</f>
        <v>#DIV/0!</v>
      </c>
      <c r="N36" s="12"/>
      <c r="O36" s="12"/>
      <c r="P36" s="12"/>
      <c r="Q36" s="12">
        <f>IF(O36="Y",0,N36*Caractérisation!$C$19)</f>
        <v>0</v>
      </c>
      <c r="R36" s="12">
        <f>IF(O36="Y",N36*Caractérisation!$C$19,0)</f>
        <v>0</v>
      </c>
      <c r="S36" s="26">
        <f>SQRT((Tableau2[[#This Row],[*Px]]-Calculs!$B$8)^2+(Tableau2[[#This Row],[*Py]]^2))</f>
        <v>0</v>
      </c>
      <c r="T36" s="26">
        <f>SQRT((Calculs!$B$7-Tableau2[[#This Row],[*Px]])^2+(Tableau2[[#This Row],[*Py]]-Calculs!$C$7)^2)</f>
        <v>0</v>
      </c>
      <c r="U36" s="26" t="e">
        <f>DEGREES(ACOS((Calculs!$B$16^2+Tableau2[[#This Row],[*Dist C_P]]^2-Tableau2[[#This Row],[*Dist Cy0_P]]^2)/(2*Calculs!$B$16*Tableau2[[#This Row],[*Dist C_P]])))</f>
        <v>#DIV/0!</v>
      </c>
      <c r="V36" s="29" t="str">
        <f>IF(Caractérisation!$C$8="Gauche",-1,IF(Caractérisation!$C$8="Droite",1,"Erreur"))</f>
        <v>Erreur</v>
      </c>
      <c r="W36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36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36" s="26" t="str">
        <f>IF(Tableau2[[#This Row],[Erreur - Conf Av/Arr]]=0,Tableau2[[#This Row],[Réponse angulaire (degrés)]],"")</f>
        <v/>
      </c>
      <c r="Z36" s="26" t="str">
        <f>IFERROR(ABS(Tableau2[[#This Row],[Réponse angulaire (degrés)]]),"")</f>
        <v/>
      </c>
      <c r="AA36" s="26" t="str">
        <f t="shared" si="2"/>
        <v/>
      </c>
      <c r="AB36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36" s="29" t="str">
        <f>IFERROR(IF(ABS(Tableau2[[#This Row],[Réponse angulaire (degrés)]])&lt;=Identification!$B$13,1,0),"")</f>
        <v/>
      </c>
      <c r="AD36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36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36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36" s="68"/>
    </row>
    <row r="37" spans="1:33" x14ac:dyDescent="0.25">
      <c r="A37" s="18">
        <v>29</v>
      </c>
      <c r="B37" s="18" t="str">
        <f>Identification!$B$11&amp;'Entrée de données'!A37</f>
        <v>29</v>
      </c>
      <c r="C37" s="12" t="str">
        <f>IF(Identification!$B$11="","",VLOOKUP(Tableau2[[#This Row],[*No unique]],Tableau4[[No unique]:[Oreille]],3,FALSE))</f>
        <v/>
      </c>
      <c r="D37" s="12" t="str">
        <f>IF(Identification!$B$11="","",VLOOKUP(Tableau2[[#This Row],[*No unique]],Tableau4[[No unique]:[Oreille]],4,FALSE))</f>
        <v/>
      </c>
      <c r="E37" s="12" t="str">
        <f t="shared" si="0"/>
        <v/>
      </c>
      <c r="F37" s="12" t="str">
        <f t="shared" si="1"/>
        <v/>
      </c>
      <c r="G37" s="12" t="str">
        <f>IF(Identification!$B$11="","",VLOOKUP(Tableau2[[#This Row],[*No unique]],Tableau4[[No unique]:[Oreille]],5,FALSE))</f>
        <v/>
      </c>
      <c r="H37" s="12" t="str">
        <f>IF(Identification!$B$11="","",VLOOKUP(Tableau2[[#This Row],[*No unique]],Tableau4[[No unique]:[Angle et oreille]],8,FALSE))</f>
        <v/>
      </c>
      <c r="I37" s="12" t="str">
        <f>IF(Identification!$B$11="","",VLOOKUP(Tableau2[[#This Row],[*No unique]],Tableau4[[No unique]:[Oreille]],7,FALSE))</f>
        <v/>
      </c>
      <c r="J37" s="12">
        <f>IF(G37="G",Calculs!$B$5,Calculs!$B$6)</f>
        <v>0</v>
      </c>
      <c r="K37" s="12">
        <f>IF(G37="G",Calculs!$C$5,Calculs!$C$6)</f>
        <v>0</v>
      </c>
      <c r="L37" s="26">
        <f>IF(Tableau2[[#This Row],[HP émetteur]]="G",Calculs!$B$12,Calculs!$B$13)</f>
        <v>0</v>
      </c>
      <c r="M37" s="26" t="e">
        <f>IF(Tableau2[[#This Row],[HP émetteur]]="G",-Calculs!$B$20,Calculs!$B$21)</f>
        <v>#DIV/0!</v>
      </c>
      <c r="N37" s="12"/>
      <c r="O37" s="12"/>
      <c r="P37" s="12"/>
      <c r="Q37" s="12">
        <f>IF(O37="Y",0,N37*Caractérisation!$C$19)</f>
        <v>0</v>
      </c>
      <c r="R37" s="12">
        <f>IF(O37="Y",N37*Caractérisation!$C$19,0)</f>
        <v>0</v>
      </c>
      <c r="S37" s="26">
        <f>SQRT((Tableau2[[#This Row],[*Px]]-Calculs!$B$8)^2+(Tableau2[[#This Row],[*Py]]^2))</f>
        <v>0</v>
      </c>
      <c r="T37" s="26">
        <f>SQRT((Calculs!$B$7-Tableau2[[#This Row],[*Px]])^2+(Tableau2[[#This Row],[*Py]]-Calculs!$C$7)^2)</f>
        <v>0</v>
      </c>
      <c r="U37" s="26" t="e">
        <f>DEGREES(ACOS((Calculs!$B$16^2+Tableau2[[#This Row],[*Dist C_P]]^2-Tableau2[[#This Row],[*Dist Cy0_P]]^2)/(2*Calculs!$B$16*Tableau2[[#This Row],[*Dist C_P]])))</f>
        <v>#DIV/0!</v>
      </c>
      <c r="V37" s="29" t="str">
        <f>IF(Caractérisation!$C$8="Gauche",-1,IF(Caractérisation!$C$8="Droite",1,"Erreur"))</f>
        <v>Erreur</v>
      </c>
      <c r="W37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37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37" s="26" t="str">
        <f>IF(Tableau2[[#This Row],[Erreur - Conf Av/Arr]]=0,Tableau2[[#This Row],[Réponse angulaire (degrés)]],"")</f>
        <v/>
      </c>
      <c r="Z37" s="26" t="str">
        <f>IFERROR(ABS(Tableau2[[#This Row],[Réponse angulaire (degrés)]]),"")</f>
        <v/>
      </c>
      <c r="AA37" s="26" t="str">
        <f t="shared" si="2"/>
        <v/>
      </c>
      <c r="AB37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37" s="29" t="str">
        <f>IFERROR(IF(ABS(Tableau2[[#This Row],[Réponse angulaire (degrés)]])&lt;=Identification!$B$13,1,0),"")</f>
        <v/>
      </c>
      <c r="AD37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37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37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37" s="68"/>
    </row>
    <row r="38" spans="1:33" x14ac:dyDescent="0.25">
      <c r="A38" s="18">
        <v>30</v>
      </c>
      <c r="B38" s="18" t="str">
        <f>Identification!$B$11&amp;'Entrée de données'!A38</f>
        <v>30</v>
      </c>
      <c r="C38" s="12" t="str">
        <f>IF(Identification!$B$11="","",VLOOKUP(Tableau2[[#This Row],[*No unique]],Tableau4[[No unique]:[Oreille]],3,FALSE))</f>
        <v/>
      </c>
      <c r="D38" s="12" t="str">
        <f>IF(Identification!$B$11="","",VLOOKUP(Tableau2[[#This Row],[*No unique]],Tableau4[[No unique]:[Oreille]],4,FALSE))</f>
        <v/>
      </c>
      <c r="E38" s="12" t="str">
        <f t="shared" si="0"/>
        <v/>
      </c>
      <c r="F38" s="12" t="str">
        <f t="shared" si="1"/>
        <v/>
      </c>
      <c r="G38" s="12" t="str">
        <f>IF(Identification!$B$11="","",VLOOKUP(Tableau2[[#This Row],[*No unique]],Tableau4[[No unique]:[Oreille]],5,FALSE))</f>
        <v/>
      </c>
      <c r="H38" s="12" t="str">
        <f>IF(Identification!$B$11="","",VLOOKUP(Tableau2[[#This Row],[*No unique]],Tableau4[[No unique]:[Angle et oreille]],8,FALSE))</f>
        <v/>
      </c>
      <c r="I38" s="12" t="str">
        <f>IF(Identification!$B$11="","",VLOOKUP(Tableau2[[#This Row],[*No unique]],Tableau4[[No unique]:[Oreille]],7,FALSE))</f>
        <v/>
      </c>
      <c r="J38" s="12">
        <f>IF(G38="G",Calculs!$B$5,Calculs!$B$6)</f>
        <v>0</v>
      </c>
      <c r="K38" s="12">
        <f>IF(G38="G",Calculs!$C$5,Calculs!$C$6)</f>
        <v>0</v>
      </c>
      <c r="L38" s="26">
        <f>IF(Tableau2[[#This Row],[HP émetteur]]="G",Calculs!$B$12,Calculs!$B$13)</f>
        <v>0</v>
      </c>
      <c r="M38" s="26" t="e">
        <f>IF(Tableau2[[#This Row],[HP émetteur]]="G",-Calculs!$B$20,Calculs!$B$21)</f>
        <v>#DIV/0!</v>
      </c>
      <c r="N38" s="12"/>
      <c r="O38" s="12"/>
      <c r="P38" s="12"/>
      <c r="Q38" s="12">
        <f>IF(O38="Y",0,N38*Caractérisation!$C$19)</f>
        <v>0</v>
      </c>
      <c r="R38" s="12">
        <f>IF(O38="Y",N38*Caractérisation!$C$19,0)</f>
        <v>0</v>
      </c>
      <c r="S38" s="26">
        <f>SQRT((Tableau2[[#This Row],[*Px]]-Calculs!$B$8)^2+(Tableau2[[#This Row],[*Py]]^2))</f>
        <v>0</v>
      </c>
      <c r="T38" s="26">
        <f>SQRT((Calculs!$B$7-Tableau2[[#This Row],[*Px]])^2+(Tableau2[[#This Row],[*Py]]-Calculs!$C$7)^2)</f>
        <v>0</v>
      </c>
      <c r="U38" s="26" t="e">
        <f>DEGREES(ACOS((Calculs!$B$16^2+Tableau2[[#This Row],[*Dist C_P]]^2-Tableau2[[#This Row],[*Dist Cy0_P]]^2)/(2*Calculs!$B$16*Tableau2[[#This Row],[*Dist C_P]])))</f>
        <v>#DIV/0!</v>
      </c>
      <c r="V38" s="29" t="str">
        <f>IF(Caractérisation!$C$8="Gauche",-1,IF(Caractérisation!$C$8="Droite",1,"Erreur"))</f>
        <v>Erreur</v>
      </c>
      <c r="W38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38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38" s="26" t="str">
        <f>IF(Tableau2[[#This Row],[Erreur - Conf Av/Arr]]=0,Tableau2[[#This Row],[Réponse angulaire (degrés)]],"")</f>
        <v/>
      </c>
      <c r="Z38" s="26" t="str">
        <f>IFERROR(ABS(Tableau2[[#This Row],[Réponse angulaire (degrés)]]),"")</f>
        <v/>
      </c>
      <c r="AA38" s="26" t="str">
        <f t="shared" si="2"/>
        <v/>
      </c>
      <c r="AB38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38" s="29" t="str">
        <f>IFERROR(IF(ABS(Tableau2[[#This Row],[Réponse angulaire (degrés)]])&lt;=Identification!$B$13,1,0),"")</f>
        <v/>
      </c>
      <c r="AD38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38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38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38" s="68"/>
    </row>
    <row r="39" spans="1:33" x14ac:dyDescent="0.25">
      <c r="A39" s="18">
        <v>31</v>
      </c>
      <c r="B39" s="18" t="str">
        <f>Identification!$B$11&amp;'Entrée de données'!A39</f>
        <v>31</v>
      </c>
      <c r="C39" s="12" t="str">
        <f>IF(Identification!$B$11="","",VLOOKUP(Tableau2[[#This Row],[*No unique]],Tableau4[[No unique]:[Oreille]],3,FALSE))</f>
        <v/>
      </c>
      <c r="D39" s="12" t="str">
        <f>IF(Identification!$B$11="","",VLOOKUP(Tableau2[[#This Row],[*No unique]],Tableau4[[No unique]:[Oreille]],4,FALSE))</f>
        <v/>
      </c>
      <c r="E39" s="12" t="str">
        <f t="shared" si="0"/>
        <v/>
      </c>
      <c r="F39" s="12" t="str">
        <f t="shared" si="1"/>
        <v/>
      </c>
      <c r="G39" s="12" t="str">
        <f>IF(Identification!$B$11="","",VLOOKUP(Tableau2[[#This Row],[*No unique]],Tableau4[[No unique]:[Oreille]],5,FALSE))</f>
        <v/>
      </c>
      <c r="H39" s="12" t="str">
        <f>IF(Identification!$B$11="","",VLOOKUP(Tableau2[[#This Row],[*No unique]],Tableau4[[No unique]:[Angle et oreille]],8,FALSE))</f>
        <v/>
      </c>
      <c r="I39" s="12" t="str">
        <f>IF(Identification!$B$11="","",VLOOKUP(Tableau2[[#This Row],[*No unique]],Tableau4[[No unique]:[Oreille]],7,FALSE))</f>
        <v/>
      </c>
      <c r="J39" s="12">
        <f>IF(G39="G",Calculs!$B$5,Calculs!$B$6)</f>
        <v>0</v>
      </c>
      <c r="K39" s="12">
        <f>IF(G39="G",Calculs!$C$5,Calculs!$C$6)</f>
        <v>0</v>
      </c>
      <c r="L39" s="26">
        <f>IF(Tableau2[[#This Row],[HP émetteur]]="G",Calculs!$B$12,Calculs!$B$13)</f>
        <v>0</v>
      </c>
      <c r="M39" s="26" t="e">
        <f>IF(Tableau2[[#This Row],[HP émetteur]]="G",-Calculs!$B$20,Calculs!$B$21)</f>
        <v>#DIV/0!</v>
      </c>
      <c r="N39" s="12"/>
      <c r="O39" s="12"/>
      <c r="P39" s="12"/>
      <c r="Q39" s="12">
        <f>IF(O39="Y",0,N39*Caractérisation!$C$19)</f>
        <v>0</v>
      </c>
      <c r="R39" s="12">
        <f>IF(O39="Y",N39*Caractérisation!$C$19,0)</f>
        <v>0</v>
      </c>
      <c r="S39" s="26">
        <f>SQRT((Tableau2[[#This Row],[*Px]]-Calculs!$B$8)^2+(Tableau2[[#This Row],[*Py]]^2))</f>
        <v>0</v>
      </c>
      <c r="T39" s="26">
        <f>SQRT((Calculs!$B$7-Tableau2[[#This Row],[*Px]])^2+(Tableau2[[#This Row],[*Py]]-Calculs!$C$7)^2)</f>
        <v>0</v>
      </c>
      <c r="U39" s="26" t="e">
        <f>DEGREES(ACOS((Calculs!$B$16^2+Tableau2[[#This Row],[*Dist C_P]]^2-Tableau2[[#This Row],[*Dist Cy0_P]]^2)/(2*Calculs!$B$16*Tableau2[[#This Row],[*Dist C_P]])))</f>
        <v>#DIV/0!</v>
      </c>
      <c r="V39" s="29" t="str">
        <f>IF(Caractérisation!$C$8="Gauche",-1,IF(Caractérisation!$C$8="Droite",1,"Erreur"))</f>
        <v>Erreur</v>
      </c>
      <c r="W39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39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39" s="26" t="str">
        <f>IF(Tableau2[[#This Row],[Erreur - Conf Av/Arr]]=0,Tableau2[[#This Row],[Réponse angulaire (degrés)]],"")</f>
        <v/>
      </c>
      <c r="Z39" s="26" t="str">
        <f>IFERROR(ABS(Tableau2[[#This Row],[Réponse angulaire (degrés)]]),"")</f>
        <v/>
      </c>
      <c r="AA39" s="26" t="str">
        <f t="shared" si="2"/>
        <v/>
      </c>
      <c r="AB39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39" s="29" t="str">
        <f>IFERROR(IF(ABS(Tableau2[[#This Row],[Réponse angulaire (degrés)]])&lt;=Identification!$B$13,1,0),"")</f>
        <v/>
      </c>
      <c r="AD39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39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39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39" s="68"/>
    </row>
    <row r="40" spans="1:33" x14ac:dyDescent="0.25">
      <c r="A40" s="18">
        <v>32</v>
      </c>
      <c r="B40" s="18" t="str">
        <f>Identification!$B$11&amp;'Entrée de données'!A40</f>
        <v>32</v>
      </c>
      <c r="C40" s="12" t="str">
        <f>IF(Identification!$B$11="","",VLOOKUP(Tableau2[[#This Row],[*No unique]],Tableau4[[No unique]:[Oreille]],3,FALSE))</f>
        <v/>
      </c>
      <c r="D40" s="12" t="str">
        <f>IF(Identification!$B$11="","",VLOOKUP(Tableau2[[#This Row],[*No unique]],Tableau4[[No unique]:[Oreille]],4,FALSE))</f>
        <v/>
      </c>
      <c r="E40" s="12" t="str">
        <f t="shared" si="0"/>
        <v/>
      </c>
      <c r="F40" s="12" t="str">
        <f t="shared" si="1"/>
        <v/>
      </c>
      <c r="G40" s="12" t="str">
        <f>IF(Identification!$B$11="","",VLOOKUP(Tableau2[[#This Row],[*No unique]],Tableau4[[No unique]:[Oreille]],5,FALSE))</f>
        <v/>
      </c>
      <c r="H40" s="12" t="str">
        <f>IF(Identification!$B$11="","",VLOOKUP(Tableau2[[#This Row],[*No unique]],Tableau4[[No unique]:[Angle et oreille]],8,FALSE))</f>
        <v/>
      </c>
      <c r="I40" s="12" t="str">
        <f>IF(Identification!$B$11="","",VLOOKUP(Tableau2[[#This Row],[*No unique]],Tableau4[[No unique]:[Oreille]],7,FALSE))</f>
        <v/>
      </c>
      <c r="J40" s="12">
        <f>IF(G40="G",Calculs!$B$5,Calculs!$B$6)</f>
        <v>0</v>
      </c>
      <c r="K40" s="12">
        <f>IF(G40="G",Calculs!$C$5,Calculs!$C$6)</f>
        <v>0</v>
      </c>
      <c r="L40" s="26">
        <f>IF(Tableau2[[#This Row],[HP émetteur]]="G",Calculs!$B$12,Calculs!$B$13)</f>
        <v>0</v>
      </c>
      <c r="M40" s="26" t="e">
        <f>IF(Tableau2[[#This Row],[HP émetteur]]="G",-Calculs!$B$20,Calculs!$B$21)</f>
        <v>#DIV/0!</v>
      </c>
      <c r="N40" s="12"/>
      <c r="O40" s="12"/>
      <c r="P40" s="12"/>
      <c r="Q40" s="12">
        <f>IF(O40="Y",0,N40*Caractérisation!$C$19)</f>
        <v>0</v>
      </c>
      <c r="R40" s="12">
        <f>IF(O40="Y",N40*Caractérisation!$C$19,0)</f>
        <v>0</v>
      </c>
      <c r="S40" s="26">
        <f>SQRT((Tableau2[[#This Row],[*Px]]-Calculs!$B$8)^2+(Tableau2[[#This Row],[*Py]]^2))</f>
        <v>0</v>
      </c>
      <c r="T40" s="26">
        <f>SQRT((Calculs!$B$7-Tableau2[[#This Row],[*Px]])^2+(Tableau2[[#This Row],[*Py]]-Calculs!$C$7)^2)</f>
        <v>0</v>
      </c>
      <c r="U40" s="26" t="e">
        <f>DEGREES(ACOS((Calculs!$B$16^2+Tableau2[[#This Row],[*Dist C_P]]^2-Tableau2[[#This Row],[*Dist Cy0_P]]^2)/(2*Calculs!$B$16*Tableau2[[#This Row],[*Dist C_P]])))</f>
        <v>#DIV/0!</v>
      </c>
      <c r="V40" s="29" t="str">
        <f>IF(Caractérisation!$C$8="Gauche",-1,IF(Caractérisation!$C$8="Droite",1,"Erreur"))</f>
        <v>Erreur</v>
      </c>
      <c r="W40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40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40" s="26" t="str">
        <f>IF(Tableau2[[#This Row],[Erreur - Conf Av/Arr]]=0,Tableau2[[#This Row],[Réponse angulaire (degrés)]],"")</f>
        <v/>
      </c>
      <c r="Z40" s="26" t="str">
        <f>IFERROR(ABS(Tableau2[[#This Row],[Réponse angulaire (degrés)]]),"")</f>
        <v/>
      </c>
      <c r="AA40" s="26" t="str">
        <f t="shared" si="2"/>
        <v/>
      </c>
      <c r="AB40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40" s="29" t="str">
        <f>IFERROR(IF(ABS(Tableau2[[#This Row],[Réponse angulaire (degrés)]])&lt;=Identification!$B$13,1,0),"")</f>
        <v/>
      </c>
      <c r="AD40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40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40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40" s="68"/>
    </row>
    <row r="41" spans="1:33" x14ac:dyDescent="0.25">
      <c r="A41" s="18">
        <v>33</v>
      </c>
      <c r="B41" s="18" t="str">
        <f>Identification!$B$11&amp;'Entrée de données'!A41</f>
        <v>33</v>
      </c>
      <c r="C41" s="12" t="str">
        <f>IF(Identification!$B$11="","",VLOOKUP(Tableau2[[#This Row],[*No unique]],Tableau4[[No unique]:[Oreille]],3,FALSE))</f>
        <v/>
      </c>
      <c r="D41" s="12" t="str">
        <f>IF(Identification!$B$11="","",VLOOKUP(Tableau2[[#This Row],[*No unique]],Tableau4[[No unique]:[Oreille]],4,FALSE))</f>
        <v/>
      </c>
      <c r="E41" s="12" t="str">
        <f t="shared" ref="E41:E72" si="3">LEFT(D41,2)</f>
        <v/>
      </c>
      <c r="F41" s="12" t="str">
        <f t="shared" ref="F41:F72" si="4">RIGHT(D41,1)</f>
        <v/>
      </c>
      <c r="G41" s="12" t="str">
        <f>IF(Identification!$B$11="","",VLOOKUP(Tableau2[[#This Row],[*No unique]],Tableau4[[No unique]:[Oreille]],5,FALSE))</f>
        <v/>
      </c>
      <c r="H41" s="12" t="str">
        <f>IF(Identification!$B$11="","",VLOOKUP(Tableau2[[#This Row],[*No unique]],Tableau4[[No unique]:[Angle et oreille]],8,FALSE))</f>
        <v/>
      </c>
      <c r="I41" s="12" t="str">
        <f>IF(Identification!$B$11="","",VLOOKUP(Tableau2[[#This Row],[*No unique]],Tableau4[[No unique]:[Oreille]],7,FALSE))</f>
        <v/>
      </c>
      <c r="J41" s="12">
        <f>IF(G41="G",Calculs!$B$5,Calculs!$B$6)</f>
        <v>0</v>
      </c>
      <c r="K41" s="12">
        <f>IF(G41="G",Calculs!$C$5,Calculs!$C$6)</f>
        <v>0</v>
      </c>
      <c r="L41" s="26">
        <f>IF(Tableau2[[#This Row],[HP émetteur]]="G",Calculs!$B$12,Calculs!$B$13)</f>
        <v>0</v>
      </c>
      <c r="M41" s="26" t="e">
        <f>IF(Tableau2[[#This Row],[HP émetteur]]="G",-Calculs!$B$20,Calculs!$B$21)</f>
        <v>#DIV/0!</v>
      </c>
      <c r="N41" s="12"/>
      <c r="O41" s="12"/>
      <c r="P41" s="12"/>
      <c r="Q41" s="12">
        <f>IF(O41="Y",0,N41*Caractérisation!$C$19)</f>
        <v>0</v>
      </c>
      <c r="R41" s="12">
        <f>IF(O41="Y",N41*Caractérisation!$C$19,0)</f>
        <v>0</v>
      </c>
      <c r="S41" s="26">
        <f>SQRT((Tableau2[[#This Row],[*Px]]-Calculs!$B$8)^2+(Tableau2[[#This Row],[*Py]]^2))</f>
        <v>0</v>
      </c>
      <c r="T41" s="26">
        <f>SQRT((Calculs!$B$7-Tableau2[[#This Row],[*Px]])^2+(Tableau2[[#This Row],[*Py]]-Calculs!$C$7)^2)</f>
        <v>0</v>
      </c>
      <c r="U41" s="26" t="e">
        <f>DEGREES(ACOS((Calculs!$B$16^2+Tableau2[[#This Row],[*Dist C_P]]^2-Tableau2[[#This Row],[*Dist Cy0_P]]^2)/(2*Calculs!$B$16*Tableau2[[#This Row],[*Dist C_P]])))</f>
        <v>#DIV/0!</v>
      </c>
      <c r="V41" s="29" t="str">
        <f>IF(Caractérisation!$C$8="Gauche",-1,IF(Caractérisation!$C$8="Droite",1,"Erreur"))</f>
        <v>Erreur</v>
      </c>
      <c r="W41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41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41" s="26" t="str">
        <f>IF(Tableau2[[#This Row],[Erreur - Conf Av/Arr]]=0,Tableau2[[#This Row],[Réponse angulaire (degrés)]],"")</f>
        <v/>
      </c>
      <c r="Z41" s="26" t="str">
        <f>IFERROR(ABS(Tableau2[[#This Row],[Réponse angulaire (degrés)]]),"")</f>
        <v/>
      </c>
      <c r="AA41" s="26" t="str">
        <f t="shared" ref="AA41:AA72" si="5">IF(AE41=0,Z41,"")</f>
        <v/>
      </c>
      <c r="AB41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41" s="29" t="str">
        <f>IFERROR(IF(ABS(Tableau2[[#This Row],[Réponse angulaire (degrés)]])&lt;=Identification!$B$13,1,0),"")</f>
        <v/>
      </c>
      <c r="AD41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41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41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41" s="68"/>
    </row>
    <row r="42" spans="1:33" x14ac:dyDescent="0.25">
      <c r="A42" s="18">
        <v>34</v>
      </c>
      <c r="B42" s="18" t="str">
        <f>Identification!$B$11&amp;'Entrée de données'!A42</f>
        <v>34</v>
      </c>
      <c r="C42" s="12" t="str">
        <f>IF(Identification!$B$11="","",VLOOKUP(Tableau2[[#This Row],[*No unique]],Tableau4[[No unique]:[Oreille]],3,FALSE))</f>
        <v/>
      </c>
      <c r="D42" s="12" t="str">
        <f>IF(Identification!$B$11="","",VLOOKUP(Tableau2[[#This Row],[*No unique]],Tableau4[[No unique]:[Oreille]],4,FALSE))</f>
        <v/>
      </c>
      <c r="E42" s="12" t="str">
        <f t="shared" si="3"/>
        <v/>
      </c>
      <c r="F42" s="12" t="str">
        <f t="shared" si="4"/>
        <v/>
      </c>
      <c r="G42" s="12" t="str">
        <f>IF(Identification!$B$11="","",VLOOKUP(Tableau2[[#This Row],[*No unique]],Tableau4[[No unique]:[Oreille]],5,FALSE))</f>
        <v/>
      </c>
      <c r="H42" s="12" t="str">
        <f>IF(Identification!$B$11="","",VLOOKUP(Tableau2[[#This Row],[*No unique]],Tableau4[[No unique]:[Angle et oreille]],8,FALSE))</f>
        <v/>
      </c>
      <c r="I42" s="12" t="str">
        <f>IF(Identification!$B$11="","",VLOOKUP(Tableau2[[#This Row],[*No unique]],Tableau4[[No unique]:[Oreille]],7,FALSE))</f>
        <v/>
      </c>
      <c r="J42" s="12">
        <f>IF(G42="G",Calculs!$B$5,Calculs!$B$6)</f>
        <v>0</v>
      </c>
      <c r="K42" s="12">
        <f>IF(G42="G",Calculs!$C$5,Calculs!$C$6)</f>
        <v>0</v>
      </c>
      <c r="L42" s="26">
        <f>IF(Tableau2[[#This Row],[HP émetteur]]="G",Calculs!$B$12,Calculs!$B$13)</f>
        <v>0</v>
      </c>
      <c r="M42" s="26" t="e">
        <f>IF(Tableau2[[#This Row],[HP émetteur]]="G",-Calculs!$B$20,Calculs!$B$21)</f>
        <v>#DIV/0!</v>
      </c>
      <c r="N42" s="12"/>
      <c r="O42" s="12"/>
      <c r="P42" s="12"/>
      <c r="Q42" s="12">
        <f>IF(O42="Y",0,N42*Caractérisation!$C$19)</f>
        <v>0</v>
      </c>
      <c r="R42" s="12">
        <f>IF(O42="Y",N42*Caractérisation!$C$19,0)</f>
        <v>0</v>
      </c>
      <c r="S42" s="26">
        <f>SQRT((Tableau2[[#This Row],[*Px]]-Calculs!$B$8)^2+(Tableau2[[#This Row],[*Py]]^2))</f>
        <v>0</v>
      </c>
      <c r="T42" s="26">
        <f>SQRT((Calculs!$B$7-Tableau2[[#This Row],[*Px]])^2+(Tableau2[[#This Row],[*Py]]-Calculs!$C$7)^2)</f>
        <v>0</v>
      </c>
      <c r="U42" s="26" t="e">
        <f>DEGREES(ACOS((Calculs!$B$16^2+Tableau2[[#This Row],[*Dist C_P]]^2-Tableau2[[#This Row],[*Dist Cy0_P]]^2)/(2*Calculs!$B$16*Tableau2[[#This Row],[*Dist C_P]])))</f>
        <v>#DIV/0!</v>
      </c>
      <c r="V42" s="29" t="str">
        <f>IF(Caractérisation!$C$8="Gauche",-1,IF(Caractérisation!$C$8="Droite",1,"Erreur"))</f>
        <v>Erreur</v>
      </c>
      <c r="W42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42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42" s="26" t="str">
        <f>IF(Tableau2[[#This Row],[Erreur - Conf Av/Arr]]=0,Tableau2[[#This Row],[Réponse angulaire (degrés)]],"")</f>
        <v/>
      </c>
      <c r="Z42" s="26" t="str">
        <f>IFERROR(ABS(Tableau2[[#This Row],[Réponse angulaire (degrés)]]),"")</f>
        <v/>
      </c>
      <c r="AA42" s="26" t="str">
        <f t="shared" si="5"/>
        <v/>
      </c>
      <c r="AB42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42" s="29" t="str">
        <f>IFERROR(IF(ABS(Tableau2[[#This Row],[Réponse angulaire (degrés)]])&lt;=Identification!$B$13,1,0),"")</f>
        <v/>
      </c>
      <c r="AD42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42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42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42" s="68"/>
    </row>
    <row r="43" spans="1:33" x14ac:dyDescent="0.25">
      <c r="A43" s="18">
        <v>35</v>
      </c>
      <c r="B43" s="18" t="str">
        <f>Identification!$B$11&amp;'Entrée de données'!A43</f>
        <v>35</v>
      </c>
      <c r="C43" s="12" t="str">
        <f>IF(Identification!$B$11="","",VLOOKUP(Tableau2[[#This Row],[*No unique]],Tableau4[[No unique]:[Oreille]],3,FALSE))</f>
        <v/>
      </c>
      <c r="D43" s="12" t="str">
        <f>IF(Identification!$B$11="","",VLOOKUP(Tableau2[[#This Row],[*No unique]],Tableau4[[No unique]:[Oreille]],4,FALSE))</f>
        <v/>
      </c>
      <c r="E43" s="12" t="str">
        <f t="shared" si="3"/>
        <v/>
      </c>
      <c r="F43" s="12" t="str">
        <f t="shared" si="4"/>
        <v/>
      </c>
      <c r="G43" s="12" t="str">
        <f>IF(Identification!$B$11="","",VLOOKUP(Tableau2[[#This Row],[*No unique]],Tableau4[[No unique]:[Oreille]],5,FALSE))</f>
        <v/>
      </c>
      <c r="H43" s="12" t="str">
        <f>IF(Identification!$B$11="","",VLOOKUP(Tableau2[[#This Row],[*No unique]],Tableau4[[No unique]:[Angle et oreille]],8,FALSE))</f>
        <v/>
      </c>
      <c r="I43" s="12" t="str">
        <f>IF(Identification!$B$11="","",VLOOKUP(Tableau2[[#This Row],[*No unique]],Tableau4[[No unique]:[Oreille]],7,FALSE))</f>
        <v/>
      </c>
      <c r="J43" s="12">
        <f>IF(G43="G",Calculs!$B$5,Calculs!$B$6)</f>
        <v>0</v>
      </c>
      <c r="K43" s="12">
        <f>IF(G43="G",Calculs!$C$5,Calculs!$C$6)</f>
        <v>0</v>
      </c>
      <c r="L43" s="26">
        <f>IF(Tableau2[[#This Row],[HP émetteur]]="G",Calculs!$B$12,Calculs!$B$13)</f>
        <v>0</v>
      </c>
      <c r="M43" s="26" t="e">
        <f>IF(Tableau2[[#This Row],[HP émetteur]]="G",-Calculs!$B$20,Calculs!$B$21)</f>
        <v>#DIV/0!</v>
      </c>
      <c r="N43" s="12"/>
      <c r="O43" s="12"/>
      <c r="P43" s="12"/>
      <c r="Q43" s="12">
        <f>IF(O43="Y",0,N43*Caractérisation!$C$19)</f>
        <v>0</v>
      </c>
      <c r="R43" s="12">
        <f>IF(O43="Y",N43*Caractérisation!$C$19,0)</f>
        <v>0</v>
      </c>
      <c r="S43" s="26">
        <f>SQRT((Tableau2[[#This Row],[*Px]]-Calculs!$B$8)^2+(Tableau2[[#This Row],[*Py]]^2))</f>
        <v>0</v>
      </c>
      <c r="T43" s="26">
        <f>SQRT((Calculs!$B$7-Tableau2[[#This Row],[*Px]])^2+(Tableau2[[#This Row],[*Py]]-Calculs!$C$7)^2)</f>
        <v>0</v>
      </c>
      <c r="U43" s="26" t="e">
        <f>DEGREES(ACOS((Calculs!$B$16^2+Tableau2[[#This Row],[*Dist C_P]]^2-Tableau2[[#This Row],[*Dist Cy0_P]]^2)/(2*Calculs!$B$16*Tableau2[[#This Row],[*Dist C_P]])))</f>
        <v>#DIV/0!</v>
      </c>
      <c r="V43" s="29" t="str">
        <f>IF(Caractérisation!$C$8="Gauche",-1,IF(Caractérisation!$C$8="Droite",1,"Erreur"))</f>
        <v>Erreur</v>
      </c>
      <c r="W43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43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43" s="26" t="str">
        <f>IF(Tableau2[[#This Row],[Erreur - Conf Av/Arr]]=0,Tableau2[[#This Row],[Réponse angulaire (degrés)]],"")</f>
        <v/>
      </c>
      <c r="Z43" s="26" t="str">
        <f>IFERROR(ABS(Tableau2[[#This Row],[Réponse angulaire (degrés)]]),"")</f>
        <v/>
      </c>
      <c r="AA43" s="26" t="str">
        <f t="shared" si="5"/>
        <v/>
      </c>
      <c r="AB43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43" s="29" t="str">
        <f>IFERROR(IF(ABS(Tableau2[[#This Row],[Réponse angulaire (degrés)]])&lt;=Identification!$B$13,1,0),"")</f>
        <v/>
      </c>
      <c r="AD43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43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43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43" s="68"/>
    </row>
    <row r="44" spans="1:33" x14ac:dyDescent="0.25">
      <c r="A44" s="18">
        <v>36</v>
      </c>
      <c r="B44" s="18" t="str">
        <f>Identification!$B$11&amp;'Entrée de données'!A44</f>
        <v>36</v>
      </c>
      <c r="C44" s="12" t="str">
        <f>IF(Identification!$B$11="","",VLOOKUP(Tableau2[[#This Row],[*No unique]],Tableau4[[No unique]:[Oreille]],3,FALSE))</f>
        <v/>
      </c>
      <c r="D44" s="12" t="str">
        <f>IF(Identification!$B$11="","",VLOOKUP(Tableau2[[#This Row],[*No unique]],Tableau4[[No unique]:[Oreille]],4,FALSE))</f>
        <v/>
      </c>
      <c r="E44" s="12" t="str">
        <f t="shared" si="3"/>
        <v/>
      </c>
      <c r="F44" s="12" t="str">
        <f t="shared" si="4"/>
        <v/>
      </c>
      <c r="G44" s="12" t="str">
        <f>IF(Identification!$B$11="","",VLOOKUP(Tableau2[[#This Row],[*No unique]],Tableau4[[No unique]:[Oreille]],5,FALSE))</f>
        <v/>
      </c>
      <c r="H44" s="12" t="str">
        <f>IF(Identification!$B$11="","",VLOOKUP(Tableau2[[#This Row],[*No unique]],Tableau4[[No unique]:[Angle et oreille]],8,FALSE))</f>
        <v/>
      </c>
      <c r="I44" s="12" t="str">
        <f>IF(Identification!$B$11="","",VLOOKUP(Tableau2[[#This Row],[*No unique]],Tableau4[[No unique]:[Oreille]],7,FALSE))</f>
        <v/>
      </c>
      <c r="J44" s="12">
        <f>IF(G44="G",Calculs!$B$5,Calculs!$B$6)</f>
        <v>0</v>
      </c>
      <c r="K44" s="12">
        <f>IF(G44="G",Calculs!$C$5,Calculs!$C$6)</f>
        <v>0</v>
      </c>
      <c r="L44" s="26">
        <f>IF(Tableau2[[#This Row],[HP émetteur]]="G",Calculs!$B$12,Calculs!$B$13)</f>
        <v>0</v>
      </c>
      <c r="M44" s="26" t="e">
        <f>IF(Tableau2[[#This Row],[HP émetteur]]="G",-Calculs!$B$20,Calculs!$B$21)</f>
        <v>#DIV/0!</v>
      </c>
      <c r="N44" s="12"/>
      <c r="O44" s="12"/>
      <c r="P44" s="12"/>
      <c r="Q44" s="12">
        <f>IF(O44="Y",0,N44*Caractérisation!$C$19)</f>
        <v>0</v>
      </c>
      <c r="R44" s="12">
        <f>IF(O44="Y",N44*Caractérisation!$C$19,0)</f>
        <v>0</v>
      </c>
      <c r="S44" s="26">
        <f>SQRT((Tableau2[[#This Row],[*Px]]-Calculs!$B$8)^2+(Tableau2[[#This Row],[*Py]]^2))</f>
        <v>0</v>
      </c>
      <c r="T44" s="26">
        <f>SQRT((Calculs!$B$7-Tableau2[[#This Row],[*Px]])^2+(Tableau2[[#This Row],[*Py]]-Calculs!$C$7)^2)</f>
        <v>0</v>
      </c>
      <c r="U44" s="26" t="e">
        <f>DEGREES(ACOS((Calculs!$B$16^2+Tableau2[[#This Row],[*Dist C_P]]^2-Tableau2[[#This Row],[*Dist Cy0_P]]^2)/(2*Calculs!$B$16*Tableau2[[#This Row],[*Dist C_P]])))</f>
        <v>#DIV/0!</v>
      </c>
      <c r="V44" s="29" t="str">
        <f>IF(Caractérisation!$C$8="Gauche",-1,IF(Caractérisation!$C$8="Droite",1,"Erreur"))</f>
        <v>Erreur</v>
      </c>
      <c r="W44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44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44" s="26" t="str">
        <f>IF(Tableau2[[#This Row],[Erreur - Conf Av/Arr]]=0,Tableau2[[#This Row],[Réponse angulaire (degrés)]],"")</f>
        <v/>
      </c>
      <c r="Z44" s="26" t="str">
        <f>IFERROR(ABS(Tableau2[[#This Row],[Réponse angulaire (degrés)]]),"")</f>
        <v/>
      </c>
      <c r="AA44" s="26" t="str">
        <f t="shared" si="5"/>
        <v/>
      </c>
      <c r="AB44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44" s="29" t="str">
        <f>IFERROR(IF(ABS(Tableau2[[#This Row],[Réponse angulaire (degrés)]])&lt;=Identification!$B$13,1,0),"")</f>
        <v/>
      </c>
      <c r="AD44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44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44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44" s="68"/>
    </row>
    <row r="45" spans="1:33" x14ac:dyDescent="0.25">
      <c r="A45" s="18">
        <v>37</v>
      </c>
      <c r="B45" s="18" t="str">
        <f>Identification!$B$11&amp;'Entrée de données'!A45</f>
        <v>37</v>
      </c>
      <c r="C45" s="12" t="str">
        <f>IF(Identification!$B$11="","",VLOOKUP(Tableau2[[#This Row],[*No unique]],Tableau4[[No unique]:[Oreille]],3,FALSE))</f>
        <v/>
      </c>
      <c r="D45" s="12" t="str">
        <f>IF(Identification!$B$11="","",VLOOKUP(Tableau2[[#This Row],[*No unique]],Tableau4[[No unique]:[Oreille]],4,FALSE))</f>
        <v/>
      </c>
      <c r="E45" s="12" t="str">
        <f t="shared" si="3"/>
        <v/>
      </c>
      <c r="F45" s="12" t="str">
        <f t="shared" si="4"/>
        <v/>
      </c>
      <c r="G45" s="12" t="str">
        <f>IF(Identification!$B$11="","",VLOOKUP(Tableau2[[#This Row],[*No unique]],Tableau4[[No unique]:[Oreille]],5,FALSE))</f>
        <v/>
      </c>
      <c r="H45" s="12" t="str">
        <f>IF(Identification!$B$11="","",VLOOKUP(Tableau2[[#This Row],[*No unique]],Tableau4[[No unique]:[Angle et oreille]],8,FALSE))</f>
        <v/>
      </c>
      <c r="I45" s="12" t="str">
        <f>IF(Identification!$B$11="","",VLOOKUP(Tableau2[[#This Row],[*No unique]],Tableau4[[No unique]:[Oreille]],7,FALSE))</f>
        <v/>
      </c>
      <c r="J45" s="12">
        <f>IF(G45="G",Calculs!$B$5,Calculs!$B$6)</f>
        <v>0</v>
      </c>
      <c r="K45" s="12">
        <f>IF(G45="G",Calculs!$C$5,Calculs!$C$6)</f>
        <v>0</v>
      </c>
      <c r="L45" s="26">
        <f>IF(Tableau2[[#This Row],[HP émetteur]]="G",Calculs!$B$12,Calculs!$B$13)</f>
        <v>0</v>
      </c>
      <c r="M45" s="26" t="e">
        <f>IF(Tableau2[[#This Row],[HP émetteur]]="G",-Calculs!$B$20,Calculs!$B$21)</f>
        <v>#DIV/0!</v>
      </c>
      <c r="N45" s="12"/>
      <c r="O45" s="12"/>
      <c r="P45" s="12"/>
      <c r="Q45" s="12">
        <f>IF(O45="Y",0,N45*Caractérisation!$C$19)</f>
        <v>0</v>
      </c>
      <c r="R45" s="12">
        <f>IF(O45="Y",N45*Caractérisation!$C$19,0)</f>
        <v>0</v>
      </c>
      <c r="S45" s="26">
        <f>SQRT((Tableau2[[#This Row],[*Px]]-Calculs!$B$8)^2+(Tableau2[[#This Row],[*Py]]^2))</f>
        <v>0</v>
      </c>
      <c r="T45" s="26">
        <f>SQRT((Calculs!$B$7-Tableau2[[#This Row],[*Px]])^2+(Tableau2[[#This Row],[*Py]]-Calculs!$C$7)^2)</f>
        <v>0</v>
      </c>
      <c r="U45" s="26" t="e">
        <f>DEGREES(ACOS((Calculs!$B$16^2+Tableau2[[#This Row],[*Dist C_P]]^2-Tableau2[[#This Row],[*Dist Cy0_P]]^2)/(2*Calculs!$B$16*Tableau2[[#This Row],[*Dist C_P]])))</f>
        <v>#DIV/0!</v>
      </c>
      <c r="V45" s="29" t="str">
        <f>IF(Caractérisation!$C$8="Gauche",-1,IF(Caractérisation!$C$8="Droite",1,"Erreur"))</f>
        <v>Erreur</v>
      </c>
      <c r="W45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45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45" s="26" t="str">
        <f>IF(Tableau2[[#This Row],[Erreur - Conf Av/Arr]]=0,Tableau2[[#This Row],[Réponse angulaire (degrés)]],"")</f>
        <v/>
      </c>
      <c r="Z45" s="26" t="str">
        <f>IFERROR(ABS(Tableau2[[#This Row],[Réponse angulaire (degrés)]]),"")</f>
        <v/>
      </c>
      <c r="AA45" s="26" t="str">
        <f t="shared" si="5"/>
        <v/>
      </c>
      <c r="AB45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45" s="29" t="str">
        <f>IFERROR(IF(ABS(Tableau2[[#This Row],[Réponse angulaire (degrés)]])&lt;=Identification!$B$13,1,0),"")</f>
        <v/>
      </c>
      <c r="AD45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45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45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45" s="68"/>
    </row>
    <row r="46" spans="1:33" x14ac:dyDescent="0.25">
      <c r="A46" s="18">
        <v>38</v>
      </c>
      <c r="B46" s="18" t="str">
        <f>Identification!$B$11&amp;'Entrée de données'!A46</f>
        <v>38</v>
      </c>
      <c r="C46" s="12" t="str">
        <f>IF(Identification!$B$11="","",VLOOKUP(Tableau2[[#This Row],[*No unique]],Tableau4[[No unique]:[Oreille]],3,FALSE))</f>
        <v/>
      </c>
      <c r="D46" s="12" t="str">
        <f>IF(Identification!$B$11="","",VLOOKUP(Tableau2[[#This Row],[*No unique]],Tableau4[[No unique]:[Oreille]],4,FALSE))</f>
        <v/>
      </c>
      <c r="E46" s="12" t="str">
        <f t="shared" si="3"/>
        <v/>
      </c>
      <c r="F46" s="12" t="str">
        <f t="shared" si="4"/>
        <v/>
      </c>
      <c r="G46" s="12" t="str">
        <f>IF(Identification!$B$11="","",VLOOKUP(Tableau2[[#This Row],[*No unique]],Tableau4[[No unique]:[Oreille]],5,FALSE))</f>
        <v/>
      </c>
      <c r="H46" s="12" t="str">
        <f>IF(Identification!$B$11="","",VLOOKUP(Tableau2[[#This Row],[*No unique]],Tableau4[[No unique]:[Angle et oreille]],8,FALSE))</f>
        <v/>
      </c>
      <c r="I46" s="12" t="str">
        <f>IF(Identification!$B$11="","",VLOOKUP(Tableau2[[#This Row],[*No unique]],Tableau4[[No unique]:[Oreille]],7,FALSE))</f>
        <v/>
      </c>
      <c r="J46" s="12">
        <f>IF(G46="G",Calculs!$B$5,Calculs!$B$6)</f>
        <v>0</v>
      </c>
      <c r="K46" s="12">
        <f>IF(G46="G",Calculs!$C$5,Calculs!$C$6)</f>
        <v>0</v>
      </c>
      <c r="L46" s="26">
        <f>IF(Tableau2[[#This Row],[HP émetteur]]="G",Calculs!$B$12,Calculs!$B$13)</f>
        <v>0</v>
      </c>
      <c r="M46" s="26" t="e">
        <f>IF(Tableau2[[#This Row],[HP émetteur]]="G",-Calculs!$B$20,Calculs!$B$21)</f>
        <v>#DIV/0!</v>
      </c>
      <c r="N46" s="12"/>
      <c r="O46" s="12"/>
      <c r="P46" s="12"/>
      <c r="Q46" s="12">
        <f>IF(O46="Y",0,N46*Caractérisation!$C$19)</f>
        <v>0</v>
      </c>
      <c r="R46" s="12">
        <f>IF(O46="Y",N46*Caractérisation!$C$19,0)</f>
        <v>0</v>
      </c>
      <c r="S46" s="26">
        <f>SQRT((Tableau2[[#This Row],[*Px]]-Calculs!$B$8)^2+(Tableau2[[#This Row],[*Py]]^2))</f>
        <v>0</v>
      </c>
      <c r="T46" s="26">
        <f>SQRT((Calculs!$B$7-Tableau2[[#This Row],[*Px]])^2+(Tableau2[[#This Row],[*Py]]-Calculs!$C$7)^2)</f>
        <v>0</v>
      </c>
      <c r="U46" s="26" t="e">
        <f>DEGREES(ACOS((Calculs!$B$16^2+Tableau2[[#This Row],[*Dist C_P]]^2-Tableau2[[#This Row],[*Dist Cy0_P]]^2)/(2*Calculs!$B$16*Tableau2[[#This Row],[*Dist C_P]])))</f>
        <v>#DIV/0!</v>
      </c>
      <c r="V46" s="29" t="str">
        <f>IF(Caractérisation!$C$8="Gauche",-1,IF(Caractérisation!$C$8="Droite",1,"Erreur"))</f>
        <v>Erreur</v>
      </c>
      <c r="W46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46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46" s="26" t="str">
        <f>IF(Tableau2[[#This Row],[Erreur - Conf Av/Arr]]=0,Tableau2[[#This Row],[Réponse angulaire (degrés)]],"")</f>
        <v/>
      </c>
      <c r="Z46" s="26" t="str">
        <f>IFERROR(ABS(Tableau2[[#This Row],[Réponse angulaire (degrés)]]),"")</f>
        <v/>
      </c>
      <c r="AA46" s="26" t="str">
        <f t="shared" si="5"/>
        <v/>
      </c>
      <c r="AB46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46" s="29" t="str">
        <f>IFERROR(IF(ABS(Tableau2[[#This Row],[Réponse angulaire (degrés)]])&lt;=Identification!$B$13,1,0),"")</f>
        <v/>
      </c>
      <c r="AD46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46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46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46" s="68"/>
    </row>
    <row r="47" spans="1:33" x14ac:dyDescent="0.25">
      <c r="A47" s="18">
        <v>39</v>
      </c>
      <c r="B47" s="18" t="str">
        <f>Identification!$B$11&amp;'Entrée de données'!A47</f>
        <v>39</v>
      </c>
      <c r="C47" s="12" t="str">
        <f>IF(Identification!$B$11="","",VLOOKUP(Tableau2[[#This Row],[*No unique]],Tableau4[[No unique]:[Oreille]],3,FALSE))</f>
        <v/>
      </c>
      <c r="D47" s="12" t="str">
        <f>IF(Identification!$B$11="","",VLOOKUP(Tableau2[[#This Row],[*No unique]],Tableau4[[No unique]:[Oreille]],4,FALSE))</f>
        <v/>
      </c>
      <c r="E47" s="12" t="str">
        <f t="shared" si="3"/>
        <v/>
      </c>
      <c r="F47" s="12" t="str">
        <f t="shared" si="4"/>
        <v/>
      </c>
      <c r="G47" s="12" t="str">
        <f>IF(Identification!$B$11="","",VLOOKUP(Tableau2[[#This Row],[*No unique]],Tableau4[[No unique]:[Oreille]],5,FALSE))</f>
        <v/>
      </c>
      <c r="H47" s="12" t="str">
        <f>IF(Identification!$B$11="","",VLOOKUP(Tableau2[[#This Row],[*No unique]],Tableau4[[No unique]:[Angle et oreille]],8,FALSE))</f>
        <v/>
      </c>
      <c r="I47" s="12" t="str">
        <f>IF(Identification!$B$11="","",VLOOKUP(Tableau2[[#This Row],[*No unique]],Tableau4[[No unique]:[Oreille]],7,FALSE))</f>
        <v/>
      </c>
      <c r="J47" s="12">
        <f>IF(G47="G",Calculs!$B$5,Calculs!$B$6)</f>
        <v>0</v>
      </c>
      <c r="K47" s="12">
        <f>IF(G47="G",Calculs!$C$5,Calculs!$C$6)</f>
        <v>0</v>
      </c>
      <c r="L47" s="26">
        <f>IF(Tableau2[[#This Row],[HP émetteur]]="G",Calculs!$B$12,Calculs!$B$13)</f>
        <v>0</v>
      </c>
      <c r="M47" s="26" t="e">
        <f>IF(Tableau2[[#This Row],[HP émetteur]]="G",-Calculs!$B$20,Calculs!$B$21)</f>
        <v>#DIV/0!</v>
      </c>
      <c r="N47" s="12"/>
      <c r="O47" s="12"/>
      <c r="P47" s="12"/>
      <c r="Q47" s="12">
        <f>IF(O47="Y",0,N47*Caractérisation!$C$19)</f>
        <v>0</v>
      </c>
      <c r="R47" s="12">
        <f>IF(O47="Y",N47*Caractérisation!$C$19,0)</f>
        <v>0</v>
      </c>
      <c r="S47" s="26">
        <f>SQRT((Tableau2[[#This Row],[*Px]]-Calculs!$B$8)^2+(Tableau2[[#This Row],[*Py]]^2))</f>
        <v>0</v>
      </c>
      <c r="T47" s="26">
        <f>SQRT((Calculs!$B$7-Tableau2[[#This Row],[*Px]])^2+(Tableau2[[#This Row],[*Py]]-Calculs!$C$7)^2)</f>
        <v>0</v>
      </c>
      <c r="U47" s="26" t="e">
        <f>DEGREES(ACOS((Calculs!$B$16^2+Tableau2[[#This Row],[*Dist C_P]]^2-Tableau2[[#This Row],[*Dist Cy0_P]]^2)/(2*Calculs!$B$16*Tableau2[[#This Row],[*Dist C_P]])))</f>
        <v>#DIV/0!</v>
      </c>
      <c r="V47" s="29" t="str">
        <f>IF(Caractérisation!$C$8="Gauche",-1,IF(Caractérisation!$C$8="Droite",1,"Erreur"))</f>
        <v>Erreur</v>
      </c>
      <c r="W47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47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47" s="26" t="str">
        <f>IF(Tableau2[[#This Row],[Erreur - Conf Av/Arr]]=0,Tableau2[[#This Row],[Réponse angulaire (degrés)]],"")</f>
        <v/>
      </c>
      <c r="Z47" s="26" t="str">
        <f>IFERROR(ABS(Tableau2[[#This Row],[Réponse angulaire (degrés)]]),"")</f>
        <v/>
      </c>
      <c r="AA47" s="26" t="str">
        <f t="shared" si="5"/>
        <v/>
      </c>
      <c r="AB47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47" s="29" t="str">
        <f>IFERROR(IF(ABS(Tableau2[[#This Row],[Réponse angulaire (degrés)]])&lt;=Identification!$B$13,1,0),"")</f>
        <v/>
      </c>
      <c r="AD47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47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47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47" s="68"/>
    </row>
    <row r="48" spans="1:33" x14ac:dyDescent="0.25">
      <c r="A48" s="18">
        <v>40</v>
      </c>
      <c r="B48" s="18" t="str">
        <f>Identification!$B$11&amp;'Entrée de données'!A48</f>
        <v>40</v>
      </c>
      <c r="C48" s="12" t="str">
        <f>IF(Identification!$B$11="","",VLOOKUP(Tableau2[[#This Row],[*No unique]],Tableau4[[No unique]:[Oreille]],3,FALSE))</f>
        <v/>
      </c>
      <c r="D48" s="12" t="str">
        <f>IF(Identification!$B$11="","",VLOOKUP(Tableau2[[#This Row],[*No unique]],Tableau4[[No unique]:[Oreille]],4,FALSE))</f>
        <v/>
      </c>
      <c r="E48" s="12" t="str">
        <f t="shared" si="3"/>
        <v/>
      </c>
      <c r="F48" s="12" t="str">
        <f t="shared" si="4"/>
        <v/>
      </c>
      <c r="G48" s="12" t="str">
        <f>IF(Identification!$B$11="","",VLOOKUP(Tableau2[[#This Row],[*No unique]],Tableau4[[No unique]:[Oreille]],5,FALSE))</f>
        <v/>
      </c>
      <c r="H48" s="12" t="str">
        <f>IF(Identification!$B$11="","",VLOOKUP(Tableau2[[#This Row],[*No unique]],Tableau4[[No unique]:[Angle et oreille]],8,FALSE))</f>
        <v/>
      </c>
      <c r="I48" s="12" t="str">
        <f>IF(Identification!$B$11="","",VLOOKUP(Tableau2[[#This Row],[*No unique]],Tableau4[[No unique]:[Oreille]],7,FALSE))</f>
        <v/>
      </c>
      <c r="J48" s="12">
        <f>IF(G48="G",Calculs!$B$5,Calculs!$B$6)</f>
        <v>0</v>
      </c>
      <c r="K48" s="12">
        <f>IF(G48="G",Calculs!$C$5,Calculs!$C$6)</f>
        <v>0</v>
      </c>
      <c r="L48" s="26">
        <f>IF(Tableau2[[#This Row],[HP émetteur]]="G",Calculs!$B$12,Calculs!$B$13)</f>
        <v>0</v>
      </c>
      <c r="M48" s="26" t="e">
        <f>IF(Tableau2[[#This Row],[HP émetteur]]="G",-Calculs!$B$20,Calculs!$B$21)</f>
        <v>#DIV/0!</v>
      </c>
      <c r="N48" s="12"/>
      <c r="O48" s="12"/>
      <c r="P48" s="12"/>
      <c r="Q48" s="12">
        <f>IF(O48="Y",0,N48*Caractérisation!$C$19)</f>
        <v>0</v>
      </c>
      <c r="R48" s="12">
        <f>IF(O48="Y",N48*Caractérisation!$C$19,0)</f>
        <v>0</v>
      </c>
      <c r="S48" s="26">
        <f>SQRT((Tableau2[[#This Row],[*Px]]-Calculs!$B$8)^2+(Tableau2[[#This Row],[*Py]]^2))</f>
        <v>0</v>
      </c>
      <c r="T48" s="26">
        <f>SQRT((Calculs!$B$7-Tableau2[[#This Row],[*Px]])^2+(Tableau2[[#This Row],[*Py]]-Calculs!$C$7)^2)</f>
        <v>0</v>
      </c>
      <c r="U48" s="26" t="e">
        <f>DEGREES(ACOS((Calculs!$B$16^2+Tableau2[[#This Row],[*Dist C_P]]^2-Tableau2[[#This Row],[*Dist Cy0_P]]^2)/(2*Calculs!$B$16*Tableau2[[#This Row],[*Dist C_P]])))</f>
        <v>#DIV/0!</v>
      </c>
      <c r="V48" s="29" t="str">
        <f>IF(Caractérisation!$C$8="Gauche",-1,IF(Caractérisation!$C$8="Droite",1,"Erreur"))</f>
        <v>Erreur</v>
      </c>
      <c r="W48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48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48" s="26" t="str">
        <f>IF(Tableau2[[#This Row],[Erreur - Conf Av/Arr]]=0,Tableau2[[#This Row],[Réponse angulaire (degrés)]],"")</f>
        <v/>
      </c>
      <c r="Z48" s="26" t="str">
        <f>IFERROR(ABS(Tableau2[[#This Row],[Réponse angulaire (degrés)]]),"")</f>
        <v/>
      </c>
      <c r="AA48" s="26" t="str">
        <f t="shared" si="5"/>
        <v/>
      </c>
      <c r="AB48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48" s="29" t="str">
        <f>IFERROR(IF(ABS(Tableau2[[#This Row],[Réponse angulaire (degrés)]])&lt;=Identification!$B$13,1,0),"")</f>
        <v/>
      </c>
      <c r="AD48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48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48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48" s="68"/>
    </row>
    <row r="49" spans="1:33" x14ac:dyDescent="0.25">
      <c r="A49" s="18">
        <v>41</v>
      </c>
      <c r="B49" s="18" t="str">
        <f>Identification!$B$11&amp;'Entrée de données'!A49</f>
        <v>41</v>
      </c>
      <c r="C49" s="12" t="str">
        <f>IF(Identification!$B$11="","",VLOOKUP(Tableau2[[#This Row],[*No unique]],Tableau4[[No unique]:[Oreille]],3,FALSE))</f>
        <v/>
      </c>
      <c r="D49" s="12" t="str">
        <f>IF(Identification!$B$11="","",VLOOKUP(Tableau2[[#This Row],[*No unique]],Tableau4[[No unique]:[Oreille]],4,FALSE))</f>
        <v/>
      </c>
      <c r="E49" s="12" t="str">
        <f t="shared" si="3"/>
        <v/>
      </c>
      <c r="F49" s="12" t="str">
        <f t="shared" si="4"/>
        <v/>
      </c>
      <c r="G49" s="12" t="str">
        <f>IF(Identification!$B$11="","",VLOOKUP(Tableau2[[#This Row],[*No unique]],Tableau4[[No unique]:[Oreille]],5,FALSE))</f>
        <v/>
      </c>
      <c r="H49" s="12" t="str">
        <f>IF(Identification!$B$11="","",VLOOKUP(Tableau2[[#This Row],[*No unique]],Tableau4[[No unique]:[Angle et oreille]],8,FALSE))</f>
        <v/>
      </c>
      <c r="I49" s="12" t="str">
        <f>IF(Identification!$B$11="","",VLOOKUP(Tableau2[[#This Row],[*No unique]],Tableau4[[No unique]:[Oreille]],7,FALSE))</f>
        <v/>
      </c>
      <c r="J49" s="12">
        <f>IF(G49="G",Calculs!$B$5,Calculs!$B$6)</f>
        <v>0</v>
      </c>
      <c r="K49" s="12">
        <f>IF(G49="G",Calculs!$C$5,Calculs!$C$6)</f>
        <v>0</v>
      </c>
      <c r="L49" s="26">
        <f>IF(Tableau2[[#This Row],[HP émetteur]]="G",Calculs!$B$12,Calculs!$B$13)</f>
        <v>0</v>
      </c>
      <c r="M49" s="26" t="e">
        <f>IF(Tableau2[[#This Row],[HP émetteur]]="G",-Calculs!$B$20,Calculs!$B$21)</f>
        <v>#DIV/0!</v>
      </c>
      <c r="N49" s="12"/>
      <c r="O49" s="12"/>
      <c r="P49" s="12"/>
      <c r="Q49" s="12">
        <f>IF(O49="Y",0,N49*Caractérisation!$C$19)</f>
        <v>0</v>
      </c>
      <c r="R49" s="12">
        <f>IF(O49="Y",N49*Caractérisation!$C$19,0)</f>
        <v>0</v>
      </c>
      <c r="S49" s="26">
        <f>SQRT((Tableau2[[#This Row],[*Px]]-Calculs!$B$8)^2+(Tableau2[[#This Row],[*Py]]^2))</f>
        <v>0</v>
      </c>
      <c r="T49" s="26">
        <f>SQRT((Calculs!$B$7-Tableau2[[#This Row],[*Px]])^2+(Tableau2[[#This Row],[*Py]]-Calculs!$C$7)^2)</f>
        <v>0</v>
      </c>
      <c r="U49" s="26" t="e">
        <f>DEGREES(ACOS((Calculs!$B$16^2+Tableau2[[#This Row],[*Dist C_P]]^2-Tableau2[[#This Row],[*Dist Cy0_P]]^2)/(2*Calculs!$B$16*Tableau2[[#This Row],[*Dist C_P]])))</f>
        <v>#DIV/0!</v>
      </c>
      <c r="V49" s="29" t="str">
        <f>IF(Caractérisation!$C$8="Gauche",-1,IF(Caractérisation!$C$8="Droite",1,"Erreur"))</f>
        <v>Erreur</v>
      </c>
      <c r="W49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49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49" s="26" t="str">
        <f>IF(Tableau2[[#This Row],[Erreur - Conf Av/Arr]]=0,Tableau2[[#This Row],[Réponse angulaire (degrés)]],"")</f>
        <v/>
      </c>
      <c r="Z49" s="26" t="str">
        <f>IFERROR(ABS(Tableau2[[#This Row],[Réponse angulaire (degrés)]]),"")</f>
        <v/>
      </c>
      <c r="AA49" s="26" t="str">
        <f t="shared" si="5"/>
        <v/>
      </c>
      <c r="AB49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49" s="29" t="str">
        <f>IFERROR(IF(ABS(Tableau2[[#This Row],[Réponse angulaire (degrés)]])&lt;=Identification!$B$13,1,0),"")</f>
        <v/>
      </c>
      <c r="AD49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49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49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49" s="68"/>
    </row>
    <row r="50" spans="1:33" x14ac:dyDescent="0.25">
      <c r="A50" s="18">
        <v>42</v>
      </c>
      <c r="B50" s="18" t="str">
        <f>Identification!$B$11&amp;'Entrée de données'!A50</f>
        <v>42</v>
      </c>
      <c r="C50" s="12" t="str">
        <f>IF(Identification!$B$11="","",VLOOKUP(Tableau2[[#This Row],[*No unique]],Tableau4[[No unique]:[Oreille]],3,FALSE))</f>
        <v/>
      </c>
      <c r="D50" s="12" t="str">
        <f>IF(Identification!$B$11="","",VLOOKUP(Tableau2[[#This Row],[*No unique]],Tableau4[[No unique]:[Oreille]],4,FALSE))</f>
        <v/>
      </c>
      <c r="E50" s="12" t="str">
        <f t="shared" si="3"/>
        <v/>
      </c>
      <c r="F50" s="12" t="str">
        <f t="shared" si="4"/>
        <v/>
      </c>
      <c r="G50" s="12" t="str">
        <f>IF(Identification!$B$11="","",VLOOKUP(Tableau2[[#This Row],[*No unique]],Tableau4[[No unique]:[Oreille]],5,FALSE))</f>
        <v/>
      </c>
      <c r="H50" s="12" t="str">
        <f>IF(Identification!$B$11="","",VLOOKUP(Tableau2[[#This Row],[*No unique]],Tableau4[[No unique]:[Angle et oreille]],8,FALSE))</f>
        <v/>
      </c>
      <c r="I50" s="12" t="str">
        <f>IF(Identification!$B$11="","",VLOOKUP(Tableau2[[#This Row],[*No unique]],Tableau4[[No unique]:[Oreille]],7,FALSE))</f>
        <v/>
      </c>
      <c r="J50" s="12">
        <f>IF(G50="G",Calculs!$B$5,Calculs!$B$6)</f>
        <v>0</v>
      </c>
      <c r="K50" s="12">
        <f>IF(G50="G",Calculs!$C$5,Calculs!$C$6)</f>
        <v>0</v>
      </c>
      <c r="L50" s="26">
        <f>IF(Tableau2[[#This Row],[HP émetteur]]="G",Calculs!$B$12,Calculs!$B$13)</f>
        <v>0</v>
      </c>
      <c r="M50" s="26" t="e">
        <f>IF(Tableau2[[#This Row],[HP émetteur]]="G",-Calculs!$B$20,Calculs!$B$21)</f>
        <v>#DIV/0!</v>
      </c>
      <c r="N50" s="12"/>
      <c r="O50" s="12"/>
      <c r="P50" s="12"/>
      <c r="Q50" s="12">
        <f>IF(O50="Y",0,N50*Caractérisation!$C$19)</f>
        <v>0</v>
      </c>
      <c r="R50" s="12">
        <f>IF(O50="Y",N50*Caractérisation!$C$19,0)</f>
        <v>0</v>
      </c>
      <c r="S50" s="26">
        <f>SQRT((Tableau2[[#This Row],[*Px]]-Calculs!$B$8)^2+(Tableau2[[#This Row],[*Py]]^2))</f>
        <v>0</v>
      </c>
      <c r="T50" s="26">
        <f>SQRT((Calculs!$B$7-Tableau2[[#This Row],[*Px]])^2+(Tableau2[[#This Row],[*Py]]-Calculs!$C$7)^2)</f>
        <v>0</v>
      </c>
      <c r="U50" s="26" t="e">
        <f>DEGREES(ACOS((Calculs!$B$16^2+Tableau2[[#This Row],[*Dist C_P]]^2-Tableau2[[#This Row],[*Dist Cy0_P]]^2)/(2*Calculs!$B$16*Tableau2[[#This Row],[*Dist C_P]])))</f>
        <v>#DIV/0!</v>
      </c>
      <c r="V50" s="29" t="str">
        <f>IF(Caractérisation!$C$8="Gauche",-1,IF(Caractérisation!$C$8="Droite",1,"Erreur"))</f>
        <v>Erreur</v>
      </c>
      <c r="W50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50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50" s="26" t="str">
        <f>IF(Tableau2[[#This Row],[Erreur - Conf Av/Arr]]=0,Tableau2[[#This Row],[Réponse angulaire (degrés)]],"")</f>
        <v/>
      </c>
      <c r="Z50" s="26" t="str">
        <f>IFERROR(ABS(Tableau2[[#This Row],[Réponse angulaire (degrés)]]),"")</f>
        <v/>
      </c>
      <c r="AA50" s="26" t="str">
        <f t="shared" si="5"/>
        <v/>
      </c>
      <c r="AB50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50" s="29" t="str">
        <f>IFERROR(IF(ABS(Tableau2[[#This Row],[Réponse angulaire (degrés)]])&lt;=Identification!$B$13,1,0),"")</f>
        <v/>
      </c>
      <c r="AD50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50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50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50" s="68"/>
    </row>
    <row r="51" spans="1:33" x14ac:dyDescent="0.25">
      <c r="A51" s="18">
        <v>43</v>
      </c>
      <c r="B51" s="18" t="str">
        <f>Identification!$B$11&amp;'Entrée de données'!A51</f>
        <v>43</v>
      </c>
      <c r="C51" s="12" t="str">
        <f>IF(Identification!$B$11="","",VLOOKUP(Tableau2[[#This Row],[*No unique]],Tableau4[[No unique]:[Oreille]],3,FALSE))</f>
        <v/>
      </c>
      <c r="D51" s="12" t="str">
        <f>IF(Identification!$B$11="","",VLOOKUP(Tableau2[[#This Row],[*No unique]],Tableau4[[No unique]:[Oreille]],4,FALSE))</f>
        <v/>
      </c>
      <c r="E51" s="12" t="str">
        <f t="shared" si="3"/>
        <v/>
      </c>
      <c r="F51" s="12" t="str">
        <f t="shared" si="4"/>
        <v/>
      </c>
      <c r="G51" s="12" t="str">
        <f>IF(Identification!$B$11="","",VLOOKUP(Tableau2[[#This Row],[*No unique]],Tableau4[[No unique]:[Oreille]],5,FALSE))</f>
        <v/>
      </c>
      <c r="H51" s="12" t="str">
        <f>IF(Identification!$B$11="","",VLOOKUP(Tableau2[[#This Row],[*No unique]],Tableau4[[No unique]:[Angle et oreille]],8,FALSE))</f>
        <v/>
      </c>
      <c r="I51" s="12" t="str">
        <f>IF(Identification!$B$11="","",VLOOKUP(Tableau2[[#This Row],[*No unique]],Tableau4[[No unique]:[Oreille]],7,FALSE))</f>
        <v/>
      </c>
      <c r="J51" s="12">
        <f>IF(G51="G",Calculs!$B$5,Calculs!$B$6)</f>
        <v>0</v>
      </c>
      <c r="K51" s="12">
        <f>IF(G51="G",Calculs!$C$5,Calculs!$C$6)</f>
        <v>0</v>
      </c>
      <c r="L51" s="26">
        <f>IF(Tableau2[[#This Row],[HP émetteur]]="G",Calculs!$B$12,Calculs!$B$13)</f>
        <v>0</v>
      </c>
      <c r="M51" s="26" t="e">
        <f>IF(Tableau2[[#This Row],[HP émetteur]]="G",-Calculs!$B$20,Calculs!$B$21)</f>
        <v>#DIV/0!</v>
      </c>
      <c r="N51" s="12"/>
      <c r="O51" s="12"/>
      <c r="P51" s="12"/>
      <c r="Q51" s="12">
        <f>IF(O51="Y",0,N51*Caractérisation!$C$19)</f>
        <v>0</v>
      </c>
      <c r="R51" s="12">
        <f>IF(O51="Y",N51*Caractérisation!$C$19,0)</f>
        <v>0</v>
      </c>
      <c r="S51" s="26">
        <f>SQRT((Tableau2[[#This Row],[*Px]]-Calculs!$B$8)^2+(Tableau2[[#This Row],[*Py]]^2))</f>
        <v>0</v>
      </c>
      <c r="T51" s="26">
        <f>SQRT((Calculs!$B$7-Tableau2[[#This Row],[*Px]])^2+(Tableau2[[#This Row],[*Py]]-Calculs!$C$7)^2)</f>
        <v>0</v>
      </c>
      <c r="U51" s="26" t="e">
        <f>DEGREES(ACOS((Calculs!$B$16^2+Tableau2[[#This Row],[*Dist C_P]]^2-Tableau2[[#This Row],[*Dist Cy0_P]]^2)/(2*Calculs!$B$16*Tableau2[[#This Row],[*Dist C_P]])))</f>
        <v>#DIV/0!</v>
      </c>
      <c r="V51" s="29" t="str">
        <f>IF(Caractérisation!$C$8="Gauche",-1,IF(Caractérisation!$C$8="Droite",1,"Erreur"))</f>
        <v>Erreur</v>
      </c>
      <c r="W51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51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51" s="26" t="str">
        <f>IF(Tableau2[[#This Row],[Erreur - Conf Av/Arr]]=0,Tableau2[[#This Row],[Réponse angulaire (degrés)]],"")</f>
        <v/>
      </c>
      <c r="Z51" s="26" t="str">
        <f>IFERROR(ABS(Tableau2[[#This Row],[Réponse angulaire (degrés)]]),"")</f>
        <v/>
      </c>
      <c r="AA51" s="26" t="str">
        <f t="shared" si="5"/>
        <v/>
      </c>
      <c r="AB51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51" s="29" t="str">
        <f>IFERROR(IF(ABS(Tableau2[[#This Row],[Réponse angulaire (degrés)]])&lt;=Identification!$B$13,1,0),"")</f>
        <v/>
      </c>
      <c r="AD51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51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51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51" s="68"/>
    </row>
    <row r="52" spans="1:33" x14ac:dyDescent="0.25">
      <c r="A52" s="18">
        <v>44</v>
      </c>
      <c r="B52" s="18" t="str">
        <f>Identification!$B$11&amp;'Entrée de données'!A52</f>
        <v>44</v>
      </c>
      <c r="C52" s="12" t="str">
        <f>IF(Identification!$B$11="","",VLOOKUP(Tableau2[[#This Row],[*No unique]],Tableau4[[No unique]:[Oreille]],3,FALSE))</f>
        <v/>
      </c>
      <c r="D52" s="12" t="str">
        <f>IF(Identification!$B$11="","",VLOOKUP(Tableau2[[#This Row],[*No unique]],Tableau4[[No unique]:[Oreille]],4,FALSE))</f>
        <v/>
      </c>
      <c r="E52" s="12" t="str">
        <f t="shared" si="3"/>
        <v/>
      </c>
      <c r="F52" s="12" t="str">
        <f t="shared" si="4"/>
        <v/>
      </c>
      <c r="G52" s="12" t="str">
        <f>IF(Identification!$B$11="","",VLOOKUP(Tableau2[[#This Row],[*No unique]],Tableau4[[No unique]:[Oreille]],5,FALSE))</f>
        <v/>
      </c>
      <c r="H52" s="12" t="str">
        <f>IF(Identification!$B$11="","",VLOOKUP(Tableau2[[#This Row],[*No unique]],Tableau4[[No unique]:[Angle et oreille]],8,FALSE))</f>
        <v/>
      </c>
      <c r="I52" s="12" t="str">
        <f>IF(Identification!$B$11="","",VLOOKUP(Tableau2[[#This Row],[*No unique]],Tableau4[[No unique]:[Oreille]],7,FALSE))</f>
        <v/>
      </c>
      <c r="J52" s="12">
        <f>IF(G52="G",Calculs!$B$5,Calculs!$B$6)</f>
        <v>0</v>
      </c>
      <c r="K52" s="12">
        <f>IF(G52="G",Calculs!$C$5,Calculs!$C$6)</f>
        <v>0</v>
      </c>
      <c r="L52" s="26">
        <f>IF(Tableau2[[#This Row],[HP émetteur]]="G",Calculs!$B$12,Calculs!$B$13)</f>
        <v>0</v>
      </c>
      <c r="M52" s="26" t="e">
        <f>IF(Tableau2[[#This Row],[HP émetteur]]="G",-Calculs!$B$20,Calculs!$B$21)</f>
        <v>#DIV/0!</v>
      </c>
      <c r="N52" s="12"/>
      <c r="O52" s="12"/>
      <c r="P52" s="12"/>
      <c r="Q52" s="12">
        <f>IF(O52="Y",0,N52*Caractérisation!$C$19)</f>
        <v>0</v>
      </c>
      <c r="R52" s="12">
        <f>IF(O52="Y",N52*Caractérisation!$C$19,0)</f>
        <v>0</v>
      </c>
      <c r="S52" s="26">
        <f>SQRT((Tableau2[[#This Row],[*Px]]-Calculs!$B$8)^2+(Tableau2[[#This Row],[*Py]]^2))</f>
        <v>0</v>
      </c>
      <c r="T52" s="26">
        <f>SQRT((Calculs!$B$7-Tableau2[[#This Row],[*Px]])^2+(Tableau2[[#This Row],[*Py]]-Calculs!$C$7)^2)</f>
        <v>0</v>
      </c>
      <c r="U52" s="26" t="e">
        <f>DEGREES(ACOS((Calculs!$B$16^2+Tableau2[[#This Row],[*Dist C_P]]^2-Tableau2[[#This Row],[*Dist Cy0_P]]^2)/(2*Calculs!$B$16*Tableau2[[#This Row],[*Dist C_P]])))</f>
        <v>#DIV/0!</v>
      </c>
      <c r="V52" s="29" t="str">
        <f>IF(Caractérisation!$C$8="Gauche",-1,IF(Caractérisation!$C$8="Droite",1,"Erreur"))</f>
        <v>Erreur</v>
      </c>
      <c r="W52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52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52" s="26" t="str">
        <f>IF(Tableau2[[#This Row],[Erreur - Conf Av/Arr]]=0,Tableau2[[#This Row],[Réponse angulaire (degrés)]],"")</f>
        <v/>
      </c>
      <c r="Z52" s="26" t="str">
        <f>IFERROR(ABS(Tableau2[[#This Row],[Réponse angulaire (degrés)]]),"")</f>
        <v/>
      </c>
      <c r="AA52" s="26" t="str">
        <f t="shared" si="5"/>
        <v/>
      </c>
      <c r="AB52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52" s="29" t="str">
        <f>IFERROR(IF(ABS(Tableau2[[#This Row],[Réponse angulaire (degrés)]])&lt;=Identification!$B$13,1,0),"")</f>
        <v/>
      </c>
      <c r="AD52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52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52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52" s="68"/>
    </row>
    <row r="53" spans="1:33" x14ac:dyDescent="0.25">
      <c r="A53" s="18">
        <v>45</v>
      </c>
      <c r="B53" s="18" t="str">
        <f>Identification!$B$11&amp;'Entrée de données'!A53</f>
        <v>45</v>
      </c>
      <c r="C53" s="12" t="str">
        <f>IF(Identification!$B$11="","",VLOOKUP(Tableau2[[#This Row],[*No unique]],Tableau4[[No unique]:[Oreille]],3,FALSE))</f>
        <v/>
      </c>
      <c r="D53" s="12" t="str">
        <f>IF(Identification!$B$11="","",VLOOKUP(Tableau2[[#This Row],[*No unique]],Tableau4[[No unique]:[Oreille]],4,FALSE))</f>
        <v/>
      </c>
      <c r="E53" s="12" t="str">
        <f t="shared" si="3"/>
        <v/>
      </c>
      <c r="F53" s="12" t="str">
        <f t="shared" si="4"/>
        <v/>
      </c>
      <c r="G53" s="12" t="str">
        <f>IF(Identification!$B$11="","",VLOOKUP(Tableau2[[#This Row],[*No unique]],Tableau4[[No unique]:[Oreille]],5,FALSE))</f>
        <v/>
      </c>
      <c r="H53" s="12" t="str">
        <f>IF(Identification!$B$11="","",VLOOKUP(Tableau2[[#This Row],[*No unique]],Tableau4[[No unique]:[Angle et oreille]],8,FALSE))</f>
        <v/>
      </c>
      <c r="I53" s="12" t="str">
        <f>IF(Identification!$B$11="","",VLOOKUP(Tableau2[[#This Row],[*No unique]],Tableau4[[No unique]:[Oreille]],7,FALSE))</f>
        <v/>
      </c>
      <c r="J53" s="12">
        <f>IF(G53="G",Calculs!$B$5,Calculs!$B$6)</f>
        <v>0</v>
      </c>
      <c r="K53" s="12">
        <f>IF(G53="G",Calculs!$C$5,Calculs!$C$6)</f>
        <v>0</v>
      </c>
      <c r="L53" s="26">
        <f>IF(Tableau2[[#This Row],[HP émetteur]]="G",Calculs!$B$12,Calculs!$B$13)</f>
        <v>0</v>
      </c>
      <c r="M53" s="26" t="e">
        <f>IF(Tableau2[[#This Row],[HP émetteur]]="G",-Calculs!$B$20,Calculs!$B$21)</f>
        <v>#DIV/0!</v>
      </c>
      <c r="N53" s="12"/>
      <c r="O53" s="12"/>
      <c r="P53" s="12"/>
      <c r="Q53" s="12">
        <f>IF(O53="Y",0,N53*Caractérisation!$C$19)</f>
        <v>0</v>
      </c>
      <c r="R53" s="12">
        <f>IF(O53="Y",N53*Caractérisation!$C$19,0)</f>
        <v>0</v>
      </c>
      <c r="S53" s="26">
        <f>SQRT((Tableau2[[#This Row],[*Px]]-Calculs!$B$8)^2+(Tableau2[[#This Row],[*Py]]^2))</f>
        <v>0</v>
      </c>
      <c r="T53" s="26">
        <f>SQRT((Calculs!$B$7-Tableau2[[#This Row],[*Px]])^2+(Tableau2[[#This Row],[*Py]]-Calculs!$C$7)^2)</f>
        <v>0</v>
      </c>
      <c r="U53" s="26" t="e">
        <f>DEGREES(ACOS((Calculs!$B$16^2+Tableau2[[#This Row],[*Dist C_P]]^2-Tableau2[[#This Row],[*Dist Cy0_P]]^2)/(2*Calculs!$B$16*Tableau2[[#This Row],[*Dist C_P]])))</f>
        <v>#DIV/0!</v>
      </c>
      <c r="V53" s="29" t="str">
        <f>IF(Caractérisation!$C$8="Gauche",-1,IF(Caractérisation!$C$8="Droite",1,"Erreur"))</f>
        <v>Erreur</v>
      </c>
      <c r="W53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53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53" s="26" t="str">
        <f>IF(Tableau2[[#This Row],[Erreur - Conf Av/Arr]]=0,Tableau2[[#This Row],[Réponse angulaire (degrés)]],"")</f>
        <v/>
      </c>
      <c r="Z53" s="26" t="str">
        <f>IFERROR(ABS(Tableau2[[#This Row],[Réponse angulaire (degrés)]]),"")</f>
        <v/>
      </c>
      <c r="AA53" s="26" t="str">
        <f t="shared" si="5"/>
        <v/>
      </c>
      <c r="AB53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53" s="29" t="str">
        <f>IFERROR(IF(ABS(Tableau2[[#This Row],[Réponse angulaire (degrés)]])&lt;=Identification!$B$13,1,0),"")</f>
        <v/>
      </c>
      <c r="AD53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53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53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53" s="68"/>
    </row>
    <row r="54" spans="1:33" x14ac:dyDescent="0.25">
      <c r="A54" s="18">
        <v>46</v>
      </c>
      <c r="B54" s="18" t="str">
        <f>Identification!$B$11&amp;'Entrée de données'!A54</f>
        <v>46</v>
      </c>
      <c r="C54" s="12" t="str">
        <f>IF(Identification!$B$11="","",VLOOKUP(Tableau2[[#This Row],[*No unique]],Tableau4[[No unique]:[Oreille]],3,FALSE))</f>
        <v/>
      </c>
      <c r="D54" s="12" t="str">
        <f>IF(Identification!$B$11="","",VLOOKUP(Tableau2[[#This Row],[*No unique]],Tableau4[[No unique]:[Oreille]],4,FALSE))</f>
        <v/>
      </c>
      <c r="E54" s="12" t="str">
        <f t="shared" si="3"/>
        <v/>
      </c>
      <c r="F54" s="12" t="str">
        <f t="shared" si="4"/>
        <v/>
      </c>
      <c r="G54" s="12" t="str">
        <f>IF(Identification!$B$11="","",VLOOKUP(Tableau2[[#This Row],[*No unique]],Tableau4[[No unique]:[Oreille]],5,FALSE))</f>
        <v/>
      </c>
      <c r="H54" s="12" t="str">
        <f>IF(Identification!$B$11="","",VLOOKUP(Tableau2[[#This Row],[*No unique]],Tableau4[[No unique]:[Angle et oreille]],8,FALSE))</f>
        <v/>
      </c>
      <c r="I54" s="12" t="str">
        <f>IF(Identification!$B$11="","",VLOOKUP(Tableau2[[#This Row],[*No unique]],Tableau4[[No unique]:[Oreille]],7,FALSE))</f>
        <v/>
      </c>
      <c r="J54" s="12">
        <f>IF(G54="G",Calculs!$B$5,Calculs!$B$6)</f>
        <v>0</v>
      </c>
      <c r="K54" s="12">
        <f>IF(G54="G",Calculs!$C$5,Calculs!$C$6)</f>
        <v>0</v>
      </c>
      <c r="L54" s="26">
        <f>IF(Tableau2[[#This Row],[HP émetteur]]="G",Calculs!$B$12,Calculs!$B$13)</f>
        <v>0</v>
      </c>
      <c r="M54" s="26" t="e">
        <f>IF(Tableau2[[#This Row],[HP émetteur]]="G",-Calculs!$B$20,Calculs!$B$21)</f>
        <v>#DIV/0!</v>
      </c>
      <c r="N54" s="12"/>
      <c r="O54" s="12"/>
      <c r="P54" s="12"/>
      <c r="Q54" s="12">
        <f>IF(O54="Y",0,N54*Caractérisation!$C$19)</f>
        <v>0</v>
      </c>
      <c r="R54" s="12">
        <f>IF(O54="Y",N54*Caractérisation!$C$19,0)</f>
        <v>0</v>
      </c>
      <c r="S54" s="26">
        <f>SQRT((Tableau2[[#This Row],[*Px]]-Calculs!$B$8)^2+(Tableau2[[#This Row],[*Py]]^2))</f>
        <v>0</v>
      </c>
      <c r="T54" s="26">
        <f>SQRT((Calculs!$B$7-Tableau2[[#This Row],[*Px]])^2+(Tableau2[[#This Row],[*Py]]-Calculs!$C$7)^2)</f>
        <v>0</v>
      </c>
      <c r="U54" s="26" t="e">
        <f>DEGREES(ACOS((Calculs!$B$16^2+Tableau2[[#This Row],[*Dist C_P]]^2-Tableau2[[#This Row],[*Dist Cy0_P]]^2)/(2*Calculs!$B$16*Tableau2[[#This Row],[*Dist C_P]])))</f>
        <v>#DIV/0!</v>
      </c>
      <c r="V54" s="29" t="str">
        <f>IF(Caractérisation!$C$8="Gauche",-1,IF(Caractérisation!$C$8="Droite",1,"Erreur"))</f>
        <v>Erreur</v>
      </c>
      <c r="W54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54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54" s="26" t="str">
        <f>IF(Tableau2[[#This Row],[Erreur - Conf Av/Arr]]=0,Tableau2[[#This Row],[Réponse angulaire (degrés)]],"")</f>
        <v/>
      </c>
      <c r="Z54" s="26" t="str">
        <f>IFERROR(ABS(Tableau2[[#This Row],[Réponse angulaire (degrés)]]),"")</f>
        <v/>
      </c>
      <c r="AA54" s="26" t="str">
        <f t="shared" si="5"/>
        <v/>
      </c>
      <c r="AB54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54" s="29" t="str">
        <f>IFERROR(IF(ABS(Tableau2[[#This Row],[Réponse angulaire (degrés)]])&lt;=Identification!$B$13,1,0),"")</f>
        <v/>
      </c>
      <c r="AD54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54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54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54" s="68"/>
    </row>
    <row r="55" spans="1:33" x14ac:dyDescent="0.25">
      <c r="A55" s="18">
        <v>47</v>
      </c>
      <c r="B55" s="18" t="str">
        <f>Identification!$B$11&amp;'Entrée de données'!A55</f>
        <v>47</v>
      </c>
      <c r="C55" s="12" t="str">
        <f>IF(Identification!$B$11="","",VLOOKUP(Tableau2[[#This Row],[*No unique]],Tableau4[[No unique]:[Oreille]],3,FALSE))</f>
        <v/>
      </c>
      <c r="D55" s="12" t="str">
        <f>IF(Identification!$B$11="","",VLOOKUP(Tableau2[[#This Row],[*No unique]],Tableau4[[No unique]:[Oreille]],4,FALSE))</f>
        <v/>
      </c>
      <c r="E55" s="12" t="str">
        <f t="shared" si="3"/>
        <v/>
      </c>
      <c r="F55" s="12" t="str">
        <f t="shared" si="4"/>
        <v/>
      </c>
      <c r="G55" s="12" t="str">
        <f>IF(Identification!$B$11="","",VLOOKUP(Tableau2[[#This Row],[*No unique]],Tableau4[[No unique]:[Oreille]],5,FALSE))</f>
        <v/>
      </c>
      <c r="H55" s="12" t="str">
        <f>IF(Identification!$B$11="","",VLOOKUP(Tableau2[[#This Row],[*No unique]],Tableau4[[No unique]:[Angle et oreille]],8,FALSE))</f>
        <v/>
      </c>
      <c r="I55" s="12" t="str">
        <f>IF(Identification!$B$11="","",VLOOKUP(Tableau2[[#This Row],[*No unique]],Tableau4[[No unique]:[Oreille]],7,FALSE))</f>
        <v/>
      </c>
      <c r="J55" s="12">
        <f>IF(G55="G",Calculs!$B$5,Calculs!$B$6)</f>
        <v>0</v>
      </c>
      <c r="K55" s="12">
        <f>IF(G55="G",Calculs!$C$5,Calculs!$C$6)</f>
        <v>0</v>
      </c>
      <c r="L55" s="26">
        <f>IF(Tableau2[[#This Row],[HP émetteur]]="G",Calculs!$B$12,Calculs!$B$13)</f>
        <v>0</v>
      </c>
      <c r="M55" s="26" t="e">
        <f>IF(Tableau2[[#This Row],[HP émetteur]]="G",-Calculs!$B$20,Calculs!$B$21)</f>
        <v>#DIV/0!</v>
      </c>
      <c r="N55" s="12"/>
      <c r="O55" s="12"/>
      <c r="P55" s="12"/>
      <c r="Q55" s="12">
        <f>IF(O55="Y",0,N55*Caractérisation!$C$19)</f>
        <v>0</v>
      </c>
      <c r="R55" s="12">
        <f>IF(O55="Y",N55*Caractérisation!$C$19,0)</f>
        <v>0</v>
      </c>
      <c r="S55" s="26">
        <f>SQRT((Tableau2[[#This Row],[*Px]]-Calculs!$B$8)^2+(Tableau2[[#This Row],[*Py]]^2))</f>
        <v>0</v>
      </c>
      <c r="T55" s="26">
        <f>SQRT((Calculs!$B$7-Tableau2[[#This Row],[*Px]])^2+(Tableau2[[#This Row],[*Py]]-Calculs!$C$7)^2)</f>
        <v>0</v>
      </c>
      <c r="U55" s="26" t="e">
        <f>DEGREES(ACOS((Calculs!$B$16^2+Tableau2[[#This Row],[*Dist C_P]]^2-Tableau2[[#This Row],[*Dist Cy0_P]]^2)/(2*Calculs!$B$16*Tableau2[[#This Row],[*Dist C_P]])))</f>
        <v>#DIV/0!</v>
      </c>
      <c r="V55" s="29" t="str">
        <f>IF(Caractérisation!$C$8="Gauche",-1,IF(Caractérisation!$C$8="Droite",1,"Erreur"))</f>
        <v>Erreur</v>
      </c>
      <c r="W55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55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55" s="26" t="str">
        <f>IF(Tableau2[[#This Row],[Erreur - Conf Av/Arr]]=0,Tableau2[[#This Row],[Réponse angulaire (degrés)]],"")</f>
        <v/>
      </c>
      <c r="Z55" s="26" t="str">
        <f>IFERROR(ABS(Tableau2[[#This Row],[Réponse angulaire (degrés)]]),"")</f>
        <v/>
      </c>
      <c r="AA55" s="26" t="str">
        <f t="shared" si="5"/>
        <v/>
      </c>
      <c r="AB55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55" s="29" t="str">
        <f>IFERROR(IF(ABS(Tableau2[[#This Row],[Réponse angulaire (degrés)]])&lt;=Identification!$B$13,1,0),"")</f>
        <v/>
      </c>
      <c r="AD55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55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55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55" s="68"/>
    </row>
    <row r="56" spans="1:33" x14ac:dyDescent="0.25">
      <c r="A56" s="18">
        <v>48</v>
      </c>
      <c r="B56" s="18" t="str">
        <f>Identification!$B$11&amp;'Entrée de données'!A56</f>
        <v>48</v>
      </c>
      <c r="C56" s="12" t="str">
        <f>IF(Identification!$B$11="","",VLOOKUP(Tableau2[[#This Row],[*No unique]],Tableau4[[No unique]:[Oreille]],3,FALSE))</f>
        <v/>
      </c>
      <c r="D56" s="12" t="str">
        <f>IF(Identification!$B$11="","",VLOOKUP(Tableau2[[#This Row],[*No unique]],Tableau4[[No unique]:[Oreille]],4,FALSE))</f>
        <v/>
      </c>
      <c r="E56" s="12" t="str">
        <f t="shared" si="3"/>
        <v/>
      </c>
      <c r="F56" s="12" t="str">
        <f t="shared" si="4"/>
        <v/>
      </c>
      <c r="G56" s="12" t="str">
        <f>IF(Identification!$B$11="","",VLOOKUP(Tableau2[[#This Row],[*No unique]],Tableau4[[No unique]:[Oreille]],5,FALSE))</f>
        <v/>
      </c>
      <c r="H56" s="12" t="str">
        <f>IF(Identification!$B$11="","",VLOOKUP(Tableau2[[#This Row],[*No unique]],Tableau4[[No unique]:[Angle et oreille]],8,FALSE))</f>
        <v/>
      </c>
      <c r="I56" s="12" t="str">
        <f>IF(Identification!$B$11="","",VLOOKUP(Tableau2[[#This Row],[*No unique]],Tableau4[[No unique]:[Oreille]],7,FALSE))</f>
        <v/>
      </c>
      <c r="J56" s="12">
        <f>IF(G56="G",Calculs!$B$5,Calculs!$B$6)</f>
        <v>0</v>
      </c>
      <c r="K56" s="12">
        <f>IF(G56="G",Calculs!$C$5,Calculs!$C$6)</f>
        <v>0</v>
      </c>
      <c r="L56" s="26">
        <f>IF(Tableau2[[#This Row],[HP émetteur]]="G",Calculs!$B$12,Calculs!$B$13)</f>
        <v>0</v>
      </c>
      <c r="M56" s="26" t="e">
        <f>IF(Tableau2[[#This Row],[HP émetteur]]="G",-Calculs!$B$20,Calculs!$B$21)</f>
        <v>#DIV/0!</v>
      </c>
      <c r="N56" s="12"/>
      <c r="O56" s="12"/>
      <c r="P56" s="12"/>
      <c r="Q56" s="12">
        <f>IF(O56="Y",0,N56*Caractérisation!$C$19)</f>
        <v>0</v>
      </c>
      <c r="R56" s="12">
        <f>IF(O56="Y",N56*Caractérisation!$C$19,0)</f>
        <v>0</v>
      </c>
      <c r="S56" s="26">
        <f>SQRT((Tableau2[[#This Row],[*Px]]-Calculs!$B$8)^2+(Tableau2[[#This Row],[*Py]]^2))</f>
        <v>0</v>
      </c>
      <c r="T56" s="26">
        <f>SQRT((Calculs!$B$7-Tableau2[[#This Row],[*Px]])^2+(Tableau2[[#This Row],[*Py]]-Calculs!$C$7)^2)</f>
        <v>0</v>
      </c>
      <c r="U56" s="26" t="e">
        <f>DEGREES(ACOS((Calculs!$B$16^2+Tableau2[[#This Row],[*Dist C_P]]^2-Tableau2[[#This Row],[*Dist Cy0_P]]^2)/(2*Calculs!$B$16*Tableau2[[#This Row],[*Dist C_P]])))</f>
        <v>#DIV/0!</v>
      </c>
      <c r="V56" s="29" t="str">
        <f>IF(Caractérisation!$C$8="Gauche",-1,IF(Caractérisation!$C$8="Droite",1,"Erreur"))</f>
        <v>Erreur</v>
      </c>
      <c r="W56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56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56" s="26" t="str">
        <f>IF(Tableau2[[#This Row],[Erreur - Conf Av/Arr]]=0,Tableau2[[#This Row],[Réponse angulaire (degrés)]],"")</f>
        <v/>
      </c>
      <c r="Z56" s="26" t="str">
        <f>IFERROR(ABS(Tableau2[[#This Row],[Réponse angulaire (degrés)]]),"")</f>
        <v/>
      </c>
      <c r="AA56" s="26" t="str">
        <f t="shared" si="5"/>
        <v/>
      </c>
      <c r="AB56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56" s="29" t="str">
        <f>IFERROR(IF(ABS(Tableau2[[#This Row],[Réponse angulaire (degrés)]])&lt;=Identification!$B$13,1,0),"")</f>
        <v/>
      </c>
      <c r="AD56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56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56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56" s="68"/>
    </row>
    <row r="57" spans="1:33" x14ac:dyDescent="0.25">
      <c r="A57" s="18">
        <v>49</v>
      </c>
      <c r="B57" s="18" t="str">
        <f>Identification!$B$11&amp;'Entrée de données'!A57</f>
        <v>49</v>
      </c>
      <c r="C57" s="12" t="str">
        <f>IF(Identification!$B$11="","",VLOOKUP(Tableau2[[#This Row],[*No unique]],Tableau4[[No unique]:[Oreille]],3,FALSE))</f>
        <v/>
      </c>
      <c r="D57" s="12" t="str">
        <f>IF(Identification!$B$11="","",VLOOKUP(Tableau2[[#This Row],[*No unique]],Tableau4[[No unique]:[Oreille]],4,FALSE))</f>
        <v/>
      </c>
      <c r="E57" s="12" t="str">
        <f t="shared" si="3"/>
        <v/>
      </c>
      <c r="F57" s="12" t="str">
        <f t="shared" si="4"/>
        <v/>
      </c>
      <c r="G57" s="12" t="str">
        <f>IF(Identification!$B$11="","",VLOOKUP(Tableau2[[#This Row],[*No unique]],Tableau4[[No unique]:[Oreille]],5,FALSE))</f>
        <v/>
      </c>
      <c r="H57" s="12" t="str">
        <f>IF(Identification!$B$11="","",VLOOKUP(Tableau2[[#This Row],[*No unique]],Tableau4[[No unique]:[Angle et oreille]],8,FALSE))</f>
        <v/>
      </c>
      <c r="I57" s="12" t="str">
        <f>IF(Identification!$B$11="","",VLOOKUP(Tableau2[[#This Row],[*No unique]],Tableau4[[No unique]:[Oreille]],7,FALSE))</f>
        <v/>
      </c>
      <c r="J57" s="12">
        <f>IF(G57="G",Calculs!$B$5,Calculs!$B$6)</f>
        <v>0</v>
      </c>
      <c r="K57" s="12">
        <f>IF(G57="G",Calculs!$C$5,Calculs!$C$6)</f>
        <v>0</v>
      </c>
      <c r="L57" s="26">
        <f>IF(Tableau2[[#This Row],[HP émetteur]]="G",Calculs!$B$12,Calculs!$B$13)</f>
        <v>0</v>
      </c>
      <c r="M57" s="26" t="e">
        <f>IF(Tableau2[[#This Row],[HP émetteur]]="G",-Calculs!$B$20,Calculs!$B$21)</f>
        <v>#DIV/0!</v>
      </c>
      <c r="N57" s="12"/>
      <c r="O57" s="12"/>
      <c r="P57" s="12"/>
      <c r="Q57" s="12">
        <f>IF(O57="Y",0,N57*Caractérisation!$C$19)</f>
        <v>0</v>
      </c>
      <c r="R57" s="12">
        <f>IF(O57="Y",N57*Caractérisation!$C$19,0)</f>
        <v>0</v>
      </c>
      <c r="S57" s="26">
        <f>SQRT((Tableau2[[#This Row],[*Px]]-Calculs!$B$8)^2+(Tableau2[[#This Row],[*Py]]^2))</f>
        <v>0</v>
      </c>
      <c r="T57" s="26">
        <f>SQRT((Calculs!$B$7-Tableau2[[#This Row],[*Px]])^2+(Tableau2[[#This Row],[*Py]]-Calculs!$C$7)^2)</f>
        <v>0</v>
      </c>
      <c r="U57" s="26" t="e">
        <f>DEGREES(ACOS((Calculs!$B$16^2+Tableau2[[#This Row],[*Dist C_P]]^2-Tableau2[[#This Row],[*Dist Cy0_P]]^2)/(2*Calculs!$B$16*Tableau2[[#This Row],[*Dist C_P]])))</f>
        <v>#DIV/0!</v>
      </c>
      <c r="V57" s="29" t="str">
        <f>IF(Caractérisation!$C$8="Gauche",-1,IF(Caractérisation!$C$8="Droite",1,"Erreur"))</f>
        <v>Erreur</v>
      </c>
      <c r="W57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57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57" s="26" t="str">
        <f>IF(Tableau2[[#This Row],[Erreur - Conf Av/Arr]]=0,Tableau2[[#This Row],[Réponse angulaire (degrés)]],"")</f>
        <v/>
      </c>
      <c r="Z57" s="26" t="str">
        <f>IFERROR(ABS(Tableau2[[#This Row],[Réponse angulaire (degrés)]]),"")</f>
        <v/>
      </c>
      <c r="AA57" s="26" t="str">
        <f t="shared" si="5"/>
        <v/>
      </c>
      <c r="AB57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57" s="29" t="str">
        <f>IFERROR(IF(ABS(Tableau2[[#This Row],[Réponse angulaire (degrés)]])&lt;=Identification!$B$13,1,0),"")</f>
        <v/>
      </c>
      <c r="AD57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57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57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57" s="68"/>
    </row>
    <row r="58" spans="1:33" x14ac:dyDescent="0.25">
      <c r="A58" s="18">
        <v>50</v>
      </c>
      <c r="B58" s="18" t="str">
        <f>Identification!$B$11&amp;'Entrée de données'!A58</f>
        <v>50</v>
      </c>
      <c r="C58" s="12" t="str">
        <f>IF(Identification!$B$11="","",VLOOKUP(Tableau2[[#This Row],[*No unique]],Tableau4[[No unique]:[Oreille]],3,FALSE))</f>
        <v/>
      </c>
      <c r="D58" s="12" t="str">
        <f>IF(Identification!$B$11="","",VLOOKUP(Tableau2[[#This Row],[*No unique]],Tableau4[[No unique]:[Oreille]],4,FALSE))</f>
        <v/>
      </c>
      <c r="E58" s="12" t="str">
        <f t="shared" si="3"/>
        <v/>
      </c>
      <c r="F58" s="12" t="str">
        <f t="shared" si="4"/>
        <v/>
      </c>
      <c r="G58" s="12" t="str">
        <f>IF(Identification!$B$11="","",VLOOKUP(Tableau2[[#This Row],[*No unique]],Tableau4[[No unique]:[Oreille]],5,FALSE))</f>
        <v/>
      </c>
      <c r="H58" s="12" t="str">
        <f>IF(Identification!$B$11="","",VLOOKUP(Tableau2[[#This Row],[*No unique]],Tableau4[[No unique]:[Angle et oreille]],8,FALSE))</f>
        <v/>
      </c>
      <c r="I58" s="12" t="str">
        <f>IF(Identification!$B$11="","",VLOOKUP(Tableau2[[#This Row],[*No unique]],Tableau4[[No unique]:[Oreille]],7,FALSE))</f>
        <v/>
      </c>
      <c r="J58" s="12">
        <f>IF(G58="G",Calculs!$B$5,Calculs!$B$6)</f>
        <v>0</v>
      </c>
      <c r="K58" s="12">
        <f>IF(G58="G",Calculs!$C$5,Calculs!$C$6)</f>
        <v>0</v>
      </c>
      <c r="L58" s="26">
        <f>IF(Tableau2[[#This Row],[HP émetteur]]="G",Calculs!$B$12,Calculs!$B$13)</f>
        <v>0</v>
      </c>
      <c r="M58" s="26" t="e">
        <f>IF(Tableau2[[#This Row],[HP émetteur]]="G",-Calculs!$B$20,Calculs!$B$21)</f>
        <v>#DIV/0!</v>
      </c>
      <c r="N58" s="12"/>
      <c r="O58" s="12"/>
      <c r="P58" s="12"/>
      <c r="Q58" s="12">
        <f>IF(O58="Y",0,N58*Caractérisation!$C$19)</f>
        <v>0</v>
      </c>
      <c r="R58" s="12">
        <f>IF(O58="Y",N58*Caractérisation!$C$19,0)</f>
        <v>0</v>
      </c>
      <c r="S58" s="26">
        <f>SQRT((Tableau2[[#This Row],[*Px]]-Calculs!$B$8)^2+(Tableau2[[#This Row],[*Py]]^2))</f>
        <v>0</v>
      </c>
      <c r="T58" s="26">
        <f>SQRT((Calculs!$B$7-Tableau2[[#This Row],[*Px]])^2+(Tableau2[[#This Row],[*Py]]-Calculs!$C$7)^2)</f>
        <v>0</v>
      </c>
      <c r="U58" s="26" t="e">
        <f>DEGREES(ACOS((Calculs!$B$16^2+Tableau2[[#This Row],[*Dist C_P]]^2-Tableau2[[#This Row],[*Dist Cy0_P]]^2)/(2*Calculs!$B$16*Tableau2[[#This Row],[*Dist C_P]])))</f>
        <v>#DIV/0!</v>
      </c>
      <c r="V58" s="29" t="str">
        <f>IF(Caractérisation!$C$8="Gauche",-1,IF(Caractérisation!$C$8="Droite",1,"Erreur"))</f>
        <v>Erreur</v>
      </c>
      <c r="W58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58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58" s="26" t="str">
        <f>IF(Tableau2[[#This Row],[Erreur - Conf Av/Arr]]=0,Tableau2[[#This Row],[Réponse angulaire (degrés)]],"")</f>
        <v/>
      </c>
      <c r="Z58" s="26" t="str">
        <f>IFERROR(ABS(Tableau2[[#This Row],[Réponse angulaire (degrés)]]),"")</f>
        <v/>
      </c>
      <c r="AA58" s="26" t="str">
        <f t="shared" si="5"/>
        <v/>
      </c>
      <c r="AB58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58" s="29" t="str">
        <f>IFERROR(IF(ABS(Tableau2[[#This Row],[Réponse angulaire (degrés)]])&lt;=Identification!$B$13,1,0),"")</f>
        <v/>
      </c>
      <c r="AD58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58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58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58" s="68"/>
    </row>
    <row r="59" spans="1:33" x14ac:dyDescent="0.25">
      <c r="A59" s="18">
        <v>51</v>
      </c>
      <c r="B59" s="18" t="str">
        <f>Identification!$B$11&amp;'Entrée de données'!A59</f>
        <v>51</v>
      </c>
      <c r="C59" s="12" t="str">
        <f>IF(Identification!$B$11="","",VLOOKUP(Tableau2[[#This Row],[*No unique]],Tableau4[[No unique]:[Oreille]],3,FALSE))</f>
        <v/>
      </c>
      <c r="D59" s="12" t="str">
        <f>IF(Identification!$B$11="","",VLOOKUP(Tableau2[[#This Row],[*No unique]],Tableau4[[No unique]:[Oreille]],4,FALSE))</f>
        <v/>
      </c>
      <c r="E59" s="12" t="str">
        <f t="shared" si="3"/>
        <v/>
      </c>
      <c r="F59" s="12" t="str">
        <f t="shared" si="4"/>
        <v/>
      </c>
      <c r="G59" s="12" t="str">
        <f>IF(Identification!$B$11="","",VLOOKUP(Tableau2[[#This Row],[*No unique]],Tableau4[[No unique]:[Oreille]],5,FALSE))</f>
        <v/>
      </c>
      <c r="H59" s="12" t="str">
        <f>IF(Identification!$B$11="","",VLOOKUP(Tableau2[[#This Row],[*No unique]],Tableau4[[No unique]:[Angle et oreille]],8,FALSE))</f>
        <v/>
      </c>
      <c r="I59" s="12" t="str">
        <f>IF(Identification!$B$11="","",VLOOKUP(Tableau2[[#This Row],[*No unique]],Tableau4[[No unique]:[Oreille]],7,FALSE))</f>
        <v/>
      </c>
      <c r="J59" s="12">
        <f>IF(G59="G",Calculs!$B$5,Calculs!$B$6)</f>
        <v>0</v>
      </c>
      <c r="K59" s="12">
        <f>IF(G59="G",Calculs!$C$5,Calculs!$C$6)</f>
        <v>0</v>
      </c>
      <c r="L59" s="26">
        <f>IF(Tableau2[[#This Row],[HP émetteur]]="G",Calculs!$B$12,Calculs!$B$13)</f>
        <v>0</v>
      </c>
      <c r="M59" s="26" t="e">
        <f>IF(Tableau2[[#This Row],[HP émetteur]]="G",-Calculs!$B$20,Calculs!$B$21)</f>
        <v>#DIV/0!</v>
      </c>
      <c r="N59" s="12"/>
      <c r="O59" s="12"/>
      <c r="P59" s="12"/>
      <c r="Q59" s="12">
        <f>IF(O59="Y",0,N59*Caractérisation!$C$19)</f>
        <v>0</v>
      </c>
      <c r="R59" s="12">
        <f>IF(O59="Y",N59*Caractérisation!$C$19,0)</f>
        <v>0</v>
      </c>
      <c r="S59" s="26">
        <f>SQRT((Tableau2[[#This Row],[*Px]]-Calculs!$B$8)^2+(Tableau2[[#This Row],[*Py]]^2))</f>
        <v>0</v>
      </c>
      <c r="T59" s="26">
        <f>SQRT((Calculs!$B$7-Tableau2[[#This Row],[*Px]])^2+(Tableau2[[#This Row],[*Py]]-Calculs!$C$7)^2)</f>
        <v>0</v>
      </c>
      <c r="U59" s="26" t="e">
        <f>DEGREES(ACOS((Calculs!$B$16^2+Tableau2[[#This Row],[*Dist C_P]]^2-Tableau2[[#This Row],[*Dist Cy0_P]]^2)/(2*Calculs!$B$16*Tableau2[[#This Row],[*Dist C_P]])))</f>
        <v>#DIV/0!</v>
      </c>
      <c r="V59" s="29" t="str">
        <f>IF(Caractérisation!$C$8="Gauche",-1,IF(Caractérisation!$C$8="Droite",1,"Erreur"))</f>
        <v>Erreur</v>
      </c>
      <c r="W59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59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59" s="26" t="str">
        <f>IF(Tableau2[[#This Row],[Erreur - Conf Av/Arr]]=0,Tableau2[[#This Row],[Réponse angulaire (degrés)]],"")</f>
        <v/>
      </c>
      <c r="Z59" s="26" t="str">
        <f>IFERROR(ABS(Tableau2[[#This Row],[Réponse angulaire (degrés)]]),"")</f>
        <v/>
      </c>
      <c r="AA59" s="26" t="str">
        <f t="shared" si="5"/>
        <v/>
      </c>
      <c r="AB59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59" s="29" t="str">
        <f>IFERROR(IF(ABS(Tableau2[[#This Row],[Réponse angulaire (degrés)]])&lt;=Identification!$B$13,1,0),"")</f>
        <v/>
      </c>
      <c r="AD59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59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59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59" s="68"/>
    </row>
    <row r="60" spans="1:33" x14ac:dyDescent="0.25">
      <c r="A60" s="18">
        <v>52</v>
      </c>
      <c r="B60" s="18" t="str">
        <f>Identification!$B$11&amp;'Entrée de données'!A60</f>
        <v>52</v>
      </c>
      <c r="C60" s="12" t="str">
        <f>IF(Identification!$B$11="","",VLOOKUP(Tableau2[[#This Row],[*No unique]],Tableau4[[No unique]:[Oreille]],3,FALSE))</f>
        <v/>
      </c>
      <c r="D60" s="12" t="str">
        <f>IF(Identification!$B$11="","",VLOOKUP(Tableau2[[#This Row],[*No unique]],Tableau4[[No unique]:[Oreille]],4,FALSE))</f>
        <v/>
      </c>
      <c r="E60" s="12" t="str">
        <f t="shared" si="3"/>
        <v/>
      </c>
      <c r="F60" s="12" t="str">
        <f t="shared" si="4"/>
        <v/>
      </c>
      <c r="G60" s="12" t="str">
        <f>IF(Identification!$B$11="","",VLOOKUP(Tableau2[[#This Row],[*No unique]],Tableau4[[No unique]:[Oreille]],5,FALSE))</f>
        <v/>
      </c>
      <c r="H60" s="12" t="str">
        <f>IF(Identification!$B$11="","",VLOOKUP(Tableau2[[#This Row],[*No unique]],Tableau4[[No unique]:[Angle et oreille]],8,FALSE))</f>
        <v/>
      </c>
      <c r="I60" s="12" t="str">
        <f>IF(Identification!$B$11="","",VLOOKUP(Tableau2[[#This Row],[*No unique]],Tableau4[[No unique]:[Oreille]],7,FALSE))</f>
        <v/>
      </c>
      <c r="J60" s="12">
        <f>IF(G60="G",Calculs!$B$5,Calculs!$B$6)</f>
        <v>0</v>
      </c>
      <c r="K60" s="12">
        <f>IF(G60="G",Calculs!$C$5,Calculs!$C$6)</f>
        <v>0</v>
      </c>
      <c r="L60" s="26">
        <f>IF(Tableau2[[#This Row],[HP émetteur]]="G",Calculs!$B$12,Calculs!$B$13)</f>
        <v>0</v>
      </c>
      <c r="M60" s="26" t="e">
        <f>IF(Tableau2[[#This Row],[HP émetteur]]="G",-Calculs!$B$20,Calculs!$B$21)</f>
        <v>#DIV/0!</v>
      </c>
      <c r="N60" s="12"/>
      <c r="O60" s="12"/>
      <c r="P60" s="12"/>
      <c r="Q60" s="12">
        <f>IF(O60="Y",0,N60*Caractérisation!$C$19)</f>
        <v>0</v>
      </c>
      <c r="R60" s="12">
        <f>IF(O60="Y",N60*Caractérisation!$C$19,0)</f>
        <v>0</v>
      </c>
      <c r="S60" s="26">
        <f>SQRT((Tableau2[[#This Row],[*Px]]-Calculs!$B$8)^2+(Tableau2[[#This Row],[*Py]]^2))</f>
        <v>0</v>
      </c>
      <c r="T60" s="26">
        <f>SQRT((Calculs!$B$7-Tableau2[[#This Row],[*Px]])^2+(Tableau2[[#This Row],[*Py]]-Calculs!$C$7)^2)</f>
        <v>0</v>
      </c>
      <c r="U60" s="26" t="e">
        <f>DEGREES(ACOS((Calculs!$B$16^2+Tableau2[[#This Row],[*Dist C_P]]^2-Tableau2[[#This Row],[*Dist Cy0_P]]^2)/(2*Calculs!$B$16*Tableau2[[#This Row],[*Dist C_P]])))</f>
        <v>#DIV/0!</v>
      </c>
      <c r="V60" s="29" t="str">
        <f>IF(Caractérisation!$C$8="Gauche",-1,IF(Caractérisation!$C$8="Droite",1,"Erreur"))</f>
        <v>Erreur</v>
      </c>
      <c r="W60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60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60" s="26" t="str">
        <f>IF(Tableau2[[#This Row],[Erreur - Conf Av/Arr]]=0,Tableau2[[#This Row],[Réponse angulaire (degrés)]],"")</f>
        <v/>
      </c>
      <c r="Z60" s="26" t="str">
        <f>IFERROR(ABS(Tableau2[[#This Row],[Réponse angulaire (degrés)]]),"")</f>
        <v/>
      </c>
      <c r="AA60" s="26" t="str">
        <f t="shared" si="5"/>
        <v/>
      </c>
      <c r="AB60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60" s="29" t="str">
        <f>IFERROR(IF(ABS(Tableau2[[#This Row],[Réponse angulaire (degrés)]])&lt;=Identification!$B$13,1,0),"")</f>
        <v/>
      </c>
      <c r="AD60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60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60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60" s="68"/>
    </row>
    <row r="61" spans="1:33" x14ac:dyDescent="0.25">
      <c r="A61" s="18">
        <v>53</v>
      </c>
      <c r="B61" s="18" t="str">
        <f>Identification!$B$11&amp;'Entrée de données'!A61</f>
        <v>53</v>
      </c>
      <c r="C61" s="12" t="str">
        <f>IF(Identification!$B$11="","",VLOOKUP(Tableau2[[#This Row],[*No unique]],Tableau4[[No unique]:[Oreille]],3,FALSE))</f>
        <v/>
      </c>
      <c r="D61" s="12" t="str">
        <f>IF(Identification!$B$11="","",VLOOKUP(Tableau2[[#This Row],[*No unique]],Tableau4[[No unique]:[Oreille]],4,FALSE))</f>
        <v/>
      </c>
      <c r="E61" s="12" t="str">
        <f t="shared" si="3"/>
        <v/>
      </c>
      <c r="F61" s="12" t="str">
        <f t="shared" si="4"/>
        <v/>
      </c>
      <c r="G61" s="12" t="str">
        <f>IF(Identification!$B$11="","",VLOOKUP(Tableau2[[#This Row],[*No unique]],Tableau4[[No unique]:[Oreille]],5,FALSE))</f>
        <v/>
      </c>
      <c r="H61" s="12" t="str">
        <f>IF(Identification!$B$11="","",VLOOKUP(Tableau2[[#This Row],[*No unique]],Tableau4[[No unique]:[Angle et oreille]],8,FALSE))</f>
        <v/>
      </c>
      <c r="I61" s="12" t="str">
        <f>IF(Identification!$B$11="","",VLOOKUP(Tableau2[[#This Row],[*No unique]],Tableau4[[No unique]:[Oreille]],7,FALSE))</f>
        <v/>
      </c>
      <c r="J61" s="12">
        <f>IF(G61="G",Calculs!$B$5,Calculs!$B$6)</f>
        <v>0</v>
      </c>
      <c r="K61" s="12">
        <f>IF(G61="G",Calculs!$C$5,Calculs!$C$6)</f>
        <v>0</v>
      </c>
      <c r="L61" s="26">
        <f>IF(Tableau2[[#This Row],[HP émetteur]]="G",Calculs!$B$12,Calculs!$B$13)</f>
        <v>0</v>
      </c>
      <c r="M61" s="26" t="e">
        <f>IF(Tableau2[[#This Row],[HP émetteur]]="G",-Calculs!$B$20,Calculs!$B$21)</f>
        <v>#DIV/0!</v>
      </c>
      <c r="N61" s="12"/>
      <c r="O61" s="12"/>
      <c r="P61" s="12"/>
      <c r="Q61" s="12">
        <f>IF(O61="Y",0,N61*Caractérisation!$C$19)</f>
        <v>0</v>
      </c>
      <c r="R61" s="12">
        <f>IF(O61="Y",N61*Caractérisation!$C$19,0)</f>
        <v>0</v>
      </c>
      <c r="S61" s="26">
        <f>SQRT((Tableau2[[#This Row],[*Px]]-Calculs!$B$8)^2+(Tableau2[[#This Row],[*Py]]^2))</f>
        <v>0</v>
      </c>
      <c r="T61" s="26">
        <f>SQRT((Calculs!$B$7-Tableau2[[#This Row],[*Px]])^2+(Tableau2[[#This Row],[*Py]]-Calculs!$C$7)^2)</f>
        <v>0</v>
      </c>
      <c r="U61" s="26" t="e">
        <f>DEGREES(ACOS((Calculs!$B$16^2+Tableau2[[#This Row],[*Dist C_P]]^2-Tableau2[[#This Row],[*Dist Cy0_P]]^2)/(2*Calculs!$B$16*Tableau2[[#This Row],[*Dist C_P]])))</f>
        <v>#DIV/0!</v>
      </c>
      <c r="V61" s="29" t="str">
        <f>IF(Caractérisation!$C$8="Gauche",-1,IF(Caractérisation!$C$8="Droite",1,"Erreur"))</f>
        <v>Erreur</v>
      </c>
      <c r="W61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61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61" s="26" t="str">
        <f>IF(Tableau2[[#This Row],[Erreur - Conf Av/Arr]]=0,Tableau2[[#This Row],[Réponse angulaire (degrés)]],"")</f>
        <v/>
      </c>
      <c r="Z61" s="26" t="str">
        <f>IFERROR(ABS(Tableau2[[#This Row],[Réponse angulaire (degrés)]]),"")</f>
        <v/>
      </c>
      <c r="AA61" s="26" t="str">
        <f t="shared" si="5"/>
        <v/>
      </c>
      <c r="AB61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61" s="29" t="str">
        <f>IFERROR(IF(ABS(Tableau2[[#This Row],[Réponse angulaire (degrés)]])&lt;=Identification!$B$13,1,0),"")</f>
        <v/>
      </c>
      <c r="AD61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61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61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61" s="68"/>
    </row>
    <row r="62" spans="1:33" x14ac:dyDescent="0.25">
      <c r="A62" s="18">
        <v>54</v>
      </c>
      <c r="B62" s="18" t="str">
        <f>Identification!$B$11&amp;'Entrée de données'!A62</f>
        <v>54</v>
      </c>
      <c r="C62" s="12" t="str">
        <f>IF(Identification!$B$11="","",VLOOKUP(Tableau2[[#This Row],[*No unique]],Tableau4[[No unique]:[Oreille]],3,FALSE))</f>
        <v/>
      </c>
      <c r="D62" s="12" t="str">
        <f>IF(Identification!$B$11="","",VLOOKUP(Tableau2[[#This Row],[*No unique]],Tableau4[[No unique]:[Oreille]],4,FALSE))</f>
        <v/>
      </c>
      <c r="E62" s="12" t="str">
        <f t="shared" si="3"/>
        <v/>
      </c>
      <c r="F62" s="12" t="str">
        <f t="shared" si="4"/>
        <v/>
      </c>
      <c r="G62" s="12" t="str">
        <f>IF(Identification!$B$11="","",VLOOKUP(Tableau2[[#This Row],[*No unique]],Tableau4[[No unique]:[Oreille]],5,FALSE))</f>
        <v/>
      </c>
      <c r="H62" s="12" t="str">
        <f>IF(Identification!$B$11="","",VLOOKUP(Tableau2[[#This Row],[*No unique]],Tableau4[[No unique]:[Angle et oreille]],8,FALSE))</f>
        <v/>
      </c>
      <c r="I62" s="12" t="str">
        <f>IF(Identification!$B$11="","",VLOOKUP(Tableau2[[#This Row],[*No unique]],Tableau4[[No unique]:[Oreille]],7,FALSE))</f>
        <v/>
      </c>
      <c r="J62" s="12">
        <f>IF(G62="G",Calculs!$B$5,Calculs!$B$6)</f>
        <v>0</v>
      </c>
      <c r="K62" s="12">
        <f>IF(G62="G",Calculs!$C$5,Calculs!$C$6)</f>
        <v>0</v>
      </c>
      <c r="L62" s="26">
        <f>IF(Tableau2[[#This Row],[HP émetteur]]="G",Calculs!$B$12,Calculs!$B$13)</f>
        <v>0</v>
      </c>
      <c r="M62" s="26" t="e">
        <f>IF(Tableau2[[#This Row],[HP émetteur]]="G",-Calculs!$B$20,Calculs!$B$21)</f>
        <v>#DIV/0!</v>
      </c>
      <c r="N62" s="12"/>
      <c r="O62" s="12"/>
      <c r="P62" s="12"/>
      <c r="Q62" s="12">
        <f>IF(O62="Y",0,N62*Caractérisation!$C$19)</f>
        <v>0</v>
      </c>
      <c r="R62" s="12">
        <f>IF(O62="Y",N62*Caractérisation!$C$19,0)</f>
        <v>0</v>
      </c>
      <c r="S62" s="26">
        <f>SQRT((Tableau2[[#This Row],[*Px]]-Calculs!$B$8)^2+(Tableau2[[#This Row],[*Py]]^2))</f>
        <v>0</v>
      </c>
      <c r="T62" s="26">
        <f>SQRT((Calculs!$B$7-Tableau2[[#This Row],[*Px]])^2+(Tableau2[[#This Row],[*Py]]-Calculs!$C$7)^2)</f>
        <v>0</v>
      </c>
      <c r="U62" s="26" t="e">
        <f>DEGREES(ACOS((Calculs!$B$16^2+Tableau2[[#This Row],[*Dist C_P]]^2-Tableau2[[#This Row],[*Dist Cy0_P]]^2)/(2*Calculs!$B$16*Tableau2[[#This Row],[*Dist C_P]])))</f>
        <v>#DIV/0!</v>
      </c>
      <c r="V62" s="29" t="str">
        <f>IF(Caractérisation!$C$8="Gauche",-1,IF(Caractérisation!$C$8="Droite",1,"Erreur"))</f>
        <v>Erreur</v>
      </c>
      <c r="W62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62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62" s="26" t="str">
        <f>IF(Tableau2[[#This Row],[Erreur - Conf Av/Arr]]=0,Tableau2[[#This Row],[Réponse angulaire (degrés)]],"")</f>
        <v/>
      </c>
      <c r="Z62" s="26" t="str">
        <f>IFERROR(ABS(Tableau2[[#This Row],[Réponse angulaire (degrés)]]),"")</f>
        <v/>
      </c>
      <c r="AA62" s="26" t="str">
        <f t="shared" si="5"/>
        <v/>
      </c>
      <c r="AB62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62" s="29" t="str">
        <f>IFERROR(IF(ABS(Tableau2[[#This Row],[Réponse angulaire (degrés)]])&lt;=Identification!$B$13,1,0),"")</f>
        <v/>
      </c>
      <c r="AD62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62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62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62" s="68"/>
    </row>
    <row r="63" spans="1:33" x14ac:dyDescent="0.25">
      <c r="A63" s="18">
        <v>55</v>
      </c>
      <c r="B63" s="18" t="str">
        <f>Identification!$B$11&amp;'Entrée de données'!A63</f>
        <v>55</v>
      </c>
      <c r="C63" s="12" t="str">
        <f>IF(Identification!$B$11="","",VLOOKUP(Tableau2[[#This Row],[*No unique]],Tableau4[[No unique]:[Oreille]],3,FALSE))</f>
        <v/>
      </c>
      <c r="D63" s="12" t="str">
        <f>IF(Identification!$B$11="","",VLOOKUP(Tableau2[[#This Row],[*No unique]],Tableau4[[No unique]:[Oreille]],4,FALSE))</f>
        <v/>
      </c>
      <c r="E63" s="12" t="str">
        <f t="shared" si="3"/>
        <v/>
      </c>
      <c r="F63" s="12" t="str">
        <f t="shared" si="4"/>
        <v/>
      </c>
      <c r="G63" s="12" t="str">
        <f>IF(Identification!$B$11="","",VLOOKUP(Tableau2[[#This Row],[*No unique]],Tableau4[[No unique]:[Oreille]],5,FALSE))</f>
        <v/>
      </c>
      <c r="H63" s="12" t="str">
        <f>IF(Identification!$B$11="","",VLOOKUP(Tableau2[[#This Row],[*No unique]],Tableau4[[No unique]:[Angle et oreille]],8,FALSE))</f>
        <v/>
      </c>
      <c r="I63" s="12" t="str">
        <f>IF(Identification!$B$11="","",VLOOKUP(Tableau2[[#This Row],[*No unique]],Tableau4[[No unique]:[Oreille]],7,FALSE))</f>
        <v/>
      </c>
      <c r="J63" s="12">
        <f>IF(G63="G",Calculs!$B$5,Calculs!$B$6)</f>
        <v>0</v>
      </c>
      <c r="K63" s="12">
        <f>IF(G63="G",Calculs!$C$5,Calculs!$C$6)</f>
        <v>0</v>
      </c>
      <c r="L63" s="26">
        <f>IF(Tableau2[[#This Row],[HP émetteur]]="G",Calculs!$B$12,Calculs!$B$13)</f>
        <v>0</v>
      </c>
      <c r="M63" s="26" t="e">
        <f>IF(Tableau2[[#This Row],[HP émetteur]]="G",-Calculs!$B$20,Calculs!$B$21)</f>
        <v>#DIV/0!</v>
      </c>
      <c r="N63" s="12"/>
      <c r="O63" s="12"/>
      <c r="P63" s="12"/>
      <c r="Q63" s="12">
        <f>IF(O63="Y",0,N63*Caractérisation!$C$19)</f>
        <v>0</v>
      </c>
      <c r="R63" s="12">
        <f>IF(O63="Y",N63*Caractérisation!$C$19,0)</f>
        <v>0</v>
      </c>
      <c r="S63" s="26">
        <f>SQRT((Tableau2[[#This Row],[*Px]]-Calculs!$B$8)^2+(Tableau2[[#This Row],[*Py]]^2))</f>
        <v>0</v>
      </c>
      <c r="T63" s="26">
        <f>SQRT((Calculs!$B$7-Tableau2[[#This Row],[*Px]])^2+(Tableau2[[#This Row],[*Py]]-Calculs!$C$7)^2)</f>
        <v>0</v>
      </c>
      <c r="U63" s="26" t="e">
        <f>DEGREES(ACOS((Calculs!$B$16^2+Tableau2[[#This Row],[*Dist C_P]]^2-Tableau2[[#This Row],[*Dist Cy0_P]]^2)/(2*Calculs!$B$16*Tableau2[[#This Row],[*Dist C_P]])))</f>
        <v>#DIV/0!</v>
      </c>
      <c r="V63" s="29" t="str">
        <f>IF(Caractérisation!$C$8="Gauche",-1,IF(Caractérisation!$C$8="Droite",1,"Erreur"))</f>
        <v>Erreur</v>
      </c>
      <c r="W63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63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63" s="26" t="str">
        <f>IF(Tableau2[[#This Row],[Erreur - Conf Av/Arr]]=0,Tableau2[[#This Row],[Réponse angulaire (degrés)]],"")</f>
        <v/>
      </c>
      <c r="Z63" s="26" t="str">
        <f>IFERROR(ABS(Tableau2[[#This Row],[Réponse angulaire (degrés)]]),"")</f>
        <v/>
      </c>
      <c r="AA63" s="26" t="str">
        <f t="shared" si="5"/>
        <v/>
      </c>
      <c r="AB63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63" s="29" t="str">
        <f>IFERROR(IF(ABS(Tableau2[[#This Row],[Réponse angulaire (degrés)]])&lt;=Identification!$B$13,1,0),"")</f>
        <v/>
      </c>
      <c r="AD63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63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63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63" s="68"/>
    </row>
    <row r="64" spans="1:33" x14ac:dyDescent="0.25">
      <c r="A64" s="18">
        <v>56</v>
      </c>
      <c r="B64" s="18" t="str">
        <f>Identification!$B$11&amp;'Entrée de données'!A64</f>
        <v>56</v>
      </c>
      <c r="C64" s="12" t="str">
        <f>IF(Identification!$B$11="","",VLOOKUP(Tableau2[[#This Row],[*No unique]],Tableau4[[No unique]:[Oreille]],3,FALSE))</f>
        <v/>
      </c>
      <c r="D64" s="12" t="str">
        <f>IF(Identification!$B$11="","",VLOOKUP(Tableau2[[#This Row],[*No unique]],Tableau4[[No unique]:[Oreille]],4,FALSE))</f>
        <v/>
      </c>
      <c r="E64" s="12" t="str">
        <f t="shared" si="3"/>
        <v/>
      </c>
      <c r="F64" s="12" t="str">
        <f t="shared" si="4"/>
        <v/>
      </c>
      <c r="G64" s="12" t="str">
        <f>IF(Identification!$B$11="","",VLOOKUP(Tableau2[[#This Row],[*No unique]],Tableau4[[No unique]:[Oreille]],5,FALSE))</f>
        <v/>
      </c>
      <c r="H64" s="12" t="str">
        <f>IF(Identification!$B$11="","",VLOOKUP(Tableau2[[#This Row],[*No unique]],Tableau4[[No unique]:[Angle et oreille]],8,FALSE))</f>
        <v/>
      </c>
      <c r="I64" s="12" t="str">
        <f>IF(Identification!$B$11="","",VLOOKUP(Tableau2[[#This Row],[*No unique]],Tableau4[[No unique]:[Oreille]],7,FALSE))</f>
        <v/>
      </c>
      <c r="J64" s="12">
        <f>IF(G64="G",Calculs!$B$5,Calculs!$B$6)</f>
        <v>0</v>
      </c>
      <c r="K64" s="12">
        <f>IF(G64="G",Calculs!$C$5,Calculs!$C$6)</f>
        <v>0</v>
      </c>
      <c r="L64" s="26">
        <f>IF(Tableau2[[#This Row],[HP émetteur]]="G",Calculs!$B$12,Calculs!$B$13)</f>
        <v>0</v>
      </c>
      <c r="M64" s="26" t="e">
        <f>IF(Tableau2[[#This Row],[HP émetteur]]="G",-Calculs!$B$20,Calculs!$B$21)</f>
        <v>#DIV/0!</v>
      </c>
      <c r="N64" s="12"/>
      <c r="O64" s="12"/>
      <c r="P64" s="12"/>
      <c r="Q64" s="12">
        <f>IF(O64="Y",0,N64*Caractérisation!$C$19)</f>
        <v>0</v>
      </c>
      <c r="R64" s="12">
        <f>IF(O64="Y",N64*Caractérisation!$C$19,0)</f>
        <v>0</v>
      </c>
      <c r="S64" s="26">
        <f>SQRT((Tableau2[[#This Row],[*Px]]-Calculs!$B$8)^2+(Tableau2[[#This Row],[*Py]]^2))</f>
        <v>0</v>
      </c>
      <c r="T64" s="26">
        <f>SQRT((Calculs!$B$7-Tableau2[[#This Row],[*Px]])^2+(Tableau2[[#This Row],[*Py]]-Calculs!$C$7)^2)</f>
        <v>0</v>
      </c>
      <c r="U64" s="26" t="e">
        <f>DEGREES(ACOS((Calculs!$B$16^2+Tableau2[[#This Row],[*Dist C_P]]^2-Tableau2[[#This Row],[*Dist Cy0_P]]^2)/(2*Calculs!$B$16*Tableau2[[#This Row],[*Dist C_P]])))</f>
        <v>#DIV/0!</v>
      </c>
      <c r="V64" s="29" t="str">
        <f>IF(Caractérisation!$C$8="Gauche",-1,IF(Caractérisation!$C$8="Droite",1,"Erreur"))</f>
        <v>Erreur</v>
      </c>
      <c r="W64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64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64" s="26" t="str">
        <f>IF(Tableau2[[#This Row],[Erreur - Conf Av/Arr]]=0,Tableau2[[#This Row],[Réponse angulaire (degrés)]],"")</f>
        <v/>
      </c>
      <c r="Z64" s="26" t="str">
        <f>IFERROR(ABS(Tableau2[[#This Row],[Réponse angulaire (degrés)]]),"")</f>
        <v/>
      </c>
      <c r="AA64" s="26" t="str">
        <f t="shared" si="5"/>
        <v/>
      </c>
      <c r="AB64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64" s="29" t="str">
        <f>IFERROR(IF(ABS(Tableau2[[#This Row],[Réponse angulaire (degrés)]])&lt;=Identification!$B$13,1,0),"")</f>
        <v/>
      </c>
      <c r="AD64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64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64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64" s="68"/>
    </row>
    <row r="65" spans="1:33" x14ac:dyDescent="0.25">
      <c r="A65" s="18">
        <v>57</v>
      </c>
      <c r="B65" s="18" t="str">
        <f>Identification!$B$11&amp;'Entrée de données'!A65</f>
        <v>57</v>
      </c>
      <c r="C65" s="12" t="str">
        <f>IF(Identification!$B$11="","",VLOOKUP(Tableau2[[#This Row],[*No unique]],Tableau4[[No unique]:[Oreille]],3,FALSE))</f>
        <v/>
      </c>
      <c r="D65" s="12" t="str">
        <f>IF(Identification!$B$11="","",VLOOKUP(Tableau2[[#This Row],[*No unique]],Tableau4[[No unique]:[Oreille]],4,FALSE))</f>
        <v/>
      </c>
      <c r="E65" s="12" t="str">
        <f t="shared" si="3"/>
        <v/>
      </c>
      <c r="F65" s="12" t="str">
        <f t="shared" si="4"/>
        <v/>
      </c>
      <c r="G65" s="12" t="str">
        <f>IF(Identification!$B$11="","",VLOOKUP(Tableau2[[#This Row],[*No unique]],Tableau4[[No unique]:[Oreille]],5,FALSE))</f>
        <v/>
      </c>
      <c r="H65" s="12" t="str">
        <f>IF(Identification!$B$11="","",VLOOKUP(Tableau2[[#This Row],[*No unique]],Tableau4[[No unique]:[Angle et oreille]],8,FALSE))</f>
        <v/>
      </c>
      <c r="I65" s="12" t="str">
        <f>IF(Identification!$B$11="","",VLOOKUP(Tableau2[[#This Row],[*No unique]],Tableau4[[No unique]:[Oreille]],7,FALSE))</f>
        <v/>
      </c>
      <c r="J65" s="12">
        <f>IF(G65="G",Calculs!$B$5,Calculs!$B$6)</f>
        <v>0</v>
      </c>
      <c r="K65" s="12">
        <f>IF(G65="G",Calculs!$C$5,Calculs!$C$6)</f>
        <v>0</v>
      </c>
      <c r="L65" s="26">
        <f>IF(Tableau2[[#This Row],[HP émetteur]]="G",Calculs!$B$12,Calculs!$B$13)</f>
        <v>0</v>
      </c>
      <c r="M65" s="26" t="e">
        <f>IF(Tableau2[[#This Row],[HP émetteur]]="G",-Calculs!$B$20,Calculs!$B$21)</f>
        <v>#DIV/0!</v>
      </c>
      <c r="N65" s="12"/>
      <c r="O65" s="12"/>
      <c r="P65" s="12"/>
      <c r="Q65" s="12">
        <f>IF(O65="Y",0,N65*Caractérisation!$C$19)</f>
        <v>0</v>
      </c>
      <c r="R65" s="12">
        <f>IF(O65="Y",N65*Caractérisation!$C$19,0)</f>
        <v>0</v>
      </c>
      <c r="S65" s="26">
        <f>SQRT((Tableau2[[#This Row],[*Px]]-Calculs!$B$8)^2+(Tableau2[[#This Row],[*Py]]^2))</f>
        <v>0</v>
      </c>
      <c r="T65" s="26">
        <f>SQRT((Calculs!$B$7-Tableau2[[#This Row],[*Px]])^2+(Tableau2[[#This Row],[*Py]]-Calculs!$C$7)^2)</f>
        <v>0</v>
      </c>
      <c r="U65" s="26" t="e">
        <f>DEGREES(ACOS((Calculs!$B$16^2+Tableau2[[#This Row],[*Dist C_P]]^2-Tableau2[[#This Row],[*Dist Cy0_P]]^2)/(2*Calculs!$B$16*Tableau2[[#This Row],[*Dist C_P]])))</f>
        <v>#DIV/0!</v>
      </c>
      <c r="V65" s="29" t="str">
        <f>IF(Caractérisation!$C$8="Gauche",-1,IF(Caractérisation!$C$8="Droite",1,"Erreur"))</f>
        <v>Erreur</v>
      </c>
      <c r="W65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65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65" s="26" t="str">
        <f>IF(Tableau2[[#This Row],[Erreur - Conf Av/Arr]]=0,Tableau2[[#This Row],[Réponse angulaire (degrés)]],"")</f>
        <v/>
      </c>
      <c r="Z65" s="26" t="str">
        <f>IFERROR(ABS(Tableau2[[#This Row],[Réponse angulaire (degrés)]]),"")</f>
        <v/>
      </c>
      <c r="AA65" s="26" t="str">
        <f t="shared" si="5"/>
        <v/>
      </c>
      <c r="AB65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65" s="29" t="str">
        <f>IFERROR(IF(ABS(Tableau2[[#This Row],[Réponse angulaire (degrés)]])&lt;=Identification!$B$13,1,0),"")</f>
        <v/>
      </c>
      <c r="AD65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65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65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65" s="68"/>
    </row>
    <row r="66" spans="1:33" x14ac:dyDescent="0.25">
      <c r="A66" s="18">
        <v>58</v>
      </c>
      <c r="B66" s="18" t="str">
        <f>Identification!$B$11&amp;'Entrée de données'!A66</f>
        <v>58</v>
      </c>
      <c r="C66" s="12" t="str">
        <f>IF(Identification!$B$11="","",VLOOKUP(Tableau2[[#This Row],[*No unique]],Tableau4[[No unique]:[Oreille]],3,FALSE))</f>
        <v/>
      </c>
      <c r="D66" s="12" t="str">
        <f>IF(Identification!$B$11="","",VLOOKUP(Tableau2[[#This Row],[*No unique]],Tableau4[[No unique]:[Oreille]],4,FALSE))</f>
        <v/>
      </c>
      <c r="E66" s="12" t="str">
        <f t="shared" si="3"/>
        <v/>
      </c>
      <c r="F66" s="12" t="str">
        <f t="shared" si="4"/>
        <v/>
      </c>
      <c r="G66" s="12" t="str">
        <f>IF(Identification!$B$11="","",VLOOKUP(Tableau2[[#This Row],[*No unique]],Tableau4[[No unique]:[Oreille]],5,FALSE))</f>
        <v/>
      </c>
      <c r="H66" s="12" t="str">
        <f>IF(Identification!$B$11="","",VLOOKUP(Tableau2[[#This Row],[*No unique]],Tableau4[[No unique]:[Angle et oreille]],8,FALSE))</f>
        <v/>
      </c>
      <c r="I66" s="12" t="str">
        <f>IF(Identification!$B$11="","",VLOOKUP(Tableau2[[#This Row],[*No unique]],Tableau4[[No unique]:[Oreille]],7,FALSE))</f>
        <v/>
      </c>
      <c r="J66" s="12">
        <f>IF(G66="G",Calculs!$B$5,Calculs!$B$6)</f>
        <v>0</v>
      </c>
      <c r="K66" s="12">
        <f>IF(G66="G",Calculs!$C$5,Calculs!$C$6)</f>
        <v>0</v>
      </c>
      <c r="L66" s="26">
        <f>IF(Tableau2[[#This Row],[HP émetteur]]="G",Calculs!$B$12,Calculs!$B$13)</f>
        <v>0</v>
      </c>
      <c r="M66" s="26" t="e">
        <f>IF(Tableau2[[#This Row],[HP émetteur]]="G",-Calculs!$B$20,Calculs!$B$21)</f>
        <v>#DIV/0!</v>
      </c>
      <c r="N66" s="12"/>
      <c r="O66" s="12"/>
      <c r="P66" s="12"/>
      <c r="Q66" s="12">
        <f>IF(O66="Y",0,N66*Caractérisation!$C$19)</f>
        <v>0</v>
      </c>
      <c r="R66" s="12">
        <f>IF(O66="Y",N66*Caractérisation!$C$19,0)</f>
        <v>0</v>
      </c>
      <c r="S66" s="26">
        <f>SQRT((Tableau2[[#This Row],[*Px]]-Calculs!$B$8)^2+(Tableau2[[#This Row],[*Py]]^2))</f>
        <v>0</v>
      </c>
      <c r="T66" s="26">
        <f>SQRT((Calculs!$B$7-Tableau2[[#This Row],[*Px]])^2+(Tableau2[[#This Row],[*Py]]-Calculs!$C$7)^2)</f>
        <v>0</v>
      </c>
      <c r="U66" s="26" t="e">
        <f>DEGREES(ACOS((Calculs!$B$16^2+Tableau2[[#This Row],[*Dist C_P]]^2-Tableau2[[#This Row],[*Dist Cy0_P]]^2)/(2*Calculs!$B$16*Tableau2[[#This Row],[*Dist C_P]])))</f>
        <v>#DIV/0!</v>
      </c>
      <c r="V66" s="29" t="str">
        <f>IF(Caractérisation!$C$8="Gauche",-1,IF(Caractérisation!$C$8="Droite",1,"Erreur"))</f>
        <v>Erreur</v>
      </c>
      <c r="W66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66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66" s="26" t="str">
        <f>IF(Tableau2[[#This Row],[Erreur - Conf Av/Arr]]=0,Tableau2[[#This Row],[Réponse angulaire (degrés)]],"")</f>
        <v/>
      </c>
      <c r="Z66" s="26" t="str">
        <f>IFERROR(ABS(Tableau2[[#This Row],[Réponse angulaire (degrés)]]),"")</f>
        <v/>
      </c>
      <c r="AA66" s="26" t="str">
        <f t="shared" si="5"/>
        <v/>
      </c>
      <c r="AB66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66" s="29" t="str">
        <f>IFERROR(IF(ABS(Tableau2[[#This Row],[Réponse angulaire (degrés)]])&lt;=Identification!$B$13,1,0),"")</f>
        <v/>
      </c>
      <c r="AD66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66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66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66" s="68"/>
    </row>
    <row r="67" spans="1:33" x14ac:dyDescent="0.25">
      <c r="A67" s="18">
        <v>59</v>
      </c>
      <c r="B67" s="18" t="str">
        <f>Identification!$B$11&amp;'Entrée de données'!A67</f>
        <v>59</v>
      </c>
      <c r="C67" s="12" t="str">
        <f>IF(Identification!$B$11="","",VLOOKUP(Tableau2[[#This Row],[*No unique]],Tableau4[[No unique]:[Oreille]],3,FALSE))</f>
        <v/>
      </c>
      <c r="D67" s="12" t="str">
        <f>IF(Identification!$B$11="","",VLOOKUP(Tableau2[[#This Row],[*No unique]],Tableau4[[No unique]:[Oreille]],4,FALSE))</f>
        <v/>
      </c>
      <c r="E67" s="12" t="str">
        <f t="shared" si="3"/>
        <v/>
      </c>
      <c r="F67" s="12" t="str">
        <f t="shared" si="4"/>
        <v/>
      </c>
      <c r="G67" s="12" t="str">
        <f>IF(Identification!$B$11="","",VLOOKUP(Tableau2[[#This Row],[*No unique]],Tableau4[[No unique]:[Oreille]],5,FALSE))</f>
        <v/>
      </c>
      <c r="H67" s="12" t="str">
        <f>IF(Identification!$B$11="","",VLOOKUP(Tableau2[[#This Row],[*No unique]],Tableau4[[No unique]:[Angle et oreille]],8,FALSE))</f>
        <v/>
      </c>
      <c r="I67" s="12" t="str">
        <f>IF(Identification!$B$11="","",VLOOKUP(Tableau2[[#This Row],[*No unique]],Tableau4[[No unique]:[Oreille]],7,FALSE))</f>
        <v/>
      </c>
      <c r="J67" s="12">
        <f>IF(G67="G",Calculs!$B$5,Calculs!$B$6)</f>
        <v>0</v>
      </c>
      <c r="K67" s="12">
        <f>IF(G67="G",Calculs!$C$5,Calculs!$C$6)</f>
        <v>0</v>
      </c>
      <c r="L67" s="26">
        <f>IF(Tableau2[[#This Row],[HP émetteur]]="G",Calculs!$B$12,Calculs!$B$13)</f>
        <v>0</v>
      </c>
      <c r="M67" s="26" t="e">
        <f>IF(Tableau2[[#This Row],[HP émetteur]]="G",-Calculs!$B$20,Calculs!$B$21)</f>
        <v>#DIV/0!</v>
      </c>
      <c r="N67" s="12"/>
      <c r="O67" s="12"/>
      <c r="P67" s="12"/>
      <c r="Q67" s="12">
        <f>IF(O67="Y",0,N67*Caractérisation!$C$19)</f>
        <v>0</v>
      </c>
      <c r="R67" s="12">
        <f>IF(O67="Y",N67*Caractérisation!$C$19,0)</f>
        <v>0</v>
      </c>
      <c r="S67" s="26">
        <f>SQRT((Tableau2[[#This Row],[*Px]]-Calculs!$B$8)^2+(Tableau2[[#This Row],[*Py]]^2))</f>
        <v>0</v>
      </c>
      <c r="T67" s="26">
        <f>SQRT((Calculs!$B$7-Tableau2[[#This Row],[*Px]])^2+(Tableau2[[#This Row],[*Py]]-Calculs!$C$7)^2)</f>
        <v>0</v>
      </c>
      <c r="U67" s="26" t="e">
        <f>DEGREES(ACOS((Calculs!$B$16^2+Tableau2[[#This Row],[*Dist C_P]]^2-Tableau2[[#This Row],[*Dist Cy0_P]]^2)/(2*Calculs!$B$16*Tableau2[[#This Row],[*Dist C_P]])))</f>
        <v>#DIV/0!</v>
      </c>
      <c r="V67" s="29" t="str">
        <f>IF(Caractérisation!$C$8="Gauche",-1,IF(Caractérisation!$C$8="Droite",1,"Erreur"))</f>
        <v>Erreur</v>
      </c>
      <c r="W67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67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67" s="26" t="str">
        <f>IF(Tableau2[[#This Row],[Erreur - Conf Av/Arr]]=0,Tableau2[[#This Row],[Réponse angulaire (degrés)]],"")</f>
        <v/>
      </c>
      <c r="Z67" s="26" t="str">
        <f>IFERROR(ABS(Tableau2[[#This Row],[Réponse angulaire (degrés)]]),"")</f>
        <v/>
      </c>
      <c r="AA67" s="26" t="str">
        <f t="shared" si="5"/>
        <v/>
      </c>
      <c r="AB67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67" s="29" t="str">
        <f>IFERROR(IF(ABS(Tableau2[[#This Row],[Réponse angulaire (degrés)]])&lt;=Identification!$B$13,1,0),"")</f>
        <v/>
      </c>
      <c r="AD67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67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67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67" s="68"/>
    </row>
    <row r="68" spans="1:33" x14ac:dyDescent="0.25">
      <c r="A68" s="18">
        <v>60</v>
      </c>
      <c r="B68" s="18" t="str">
        <f>Identification!$B$11&amp;'Entrée de données'!A68</f>
        <v>60</v>
      </c>
      <c r="C68" s="12" t="str">
        <f>IF(Identification!$B$11="","",VLOOKUP(Tableau2[[#This Row],[*No unique]],Tableau4[[No unique]:[Oreille]],3,FALSE))</f>
        <v/>
      </c>
      <c r="D68" s="12" t="str">
        <f>IF(Identification!$B$11="","",VLOOKUP(Tableau2[[#This Row],[*No unique]],Tableau4[[No unique]:[Oreille]],4,FALSE))</f>
        <v/>
      </c>
      <c r="E68" s="12" t="str">
        <f t="shared" si="3"/>
        <v/>
      </c>
      <c r="F68" s="12" t="str">
        <f t="shared" si="4"/>
        <v/>
      </c>
      <c r="G68" s="12" t="str">
        <f>IF(Identification!$B$11="","",VLOOKUP(Tableau2[[#This Row],[*No unique]],Tableau4[[No unique]:[Oreille]],5,FALSE))</f>
        <v/>
      </c>
      <c r="H68" s="12" t="str">
        <f>IF(Identification!$B$11="","",VLOOKUP(Tableau2[[#This Row],[*No unique]],Tableau4[[No unique]:[Angle et oreille]],8,FALSE))</f>
        <v/>
      </c>
      <c r="I68" s="12" t="str">
        <f>IF(Identification!$B$11="","",VLOOKUP(Tableau2[[#This Row],[*No unique]],Tableau4[[No unique]:[Oreille]],7,FALSE))</f>
        <v/>
      </c>
      <c r="J68" s="12">
        <f>IF(G68="G",Calculs!$B$5,Calculs!$B$6)</f>
        <v>0</v>
      </c>
      <c r="K68" s="12">
        <f>IF(G68="G",Calculs!$C$5,Calculs!$C$6)</f>
        <v>0</v>
      </c>
      <c r="L68" s="26">
        <f>IF(Tableau2[[#This Row],[HP émetteur]]="G",Calculs!$B$12,Calculs!$B$13)</f>
        <v>0</v>
      </c>
      <c r="M68" s="26" t="e">
        <f>IF(Tableau2[[#This Row],[HP émetteur]]="G",-Calculs!$B$20,Calculs!$B$21)</f>
        <v>#DIV/0!</v>
      </c>
      <c r="N68" s="12"/>
      <c r="O68" s="12"/>
      <c r="P68" s="12"/>
      <c r="Q68" s="12">
        <f>IF(O68="Y",0,N68*Caractérisation!$C$19)</f>
        <v>0</v>
      </c>
      <c r="R68" s="12">
        <f>IF(O68="Y",N68*Caractérisation!$C$19,0)</f>
        <v>0</v>
      </c>
      <c r="S68" s="26">
        <f>SQRT((Tableau2[[#This Row],[*Px]]-Calculs!$B$8)^2+(Tableau2[[#This Row],[*Py]]^2))</f>
        <v>0</v>
      </c>
      <c r="T68" s="26">
        <f>SQRT((Calculs!$B$7-Tableau2[[#This Row],[*Px]])^2+(Tableau2[[#This Row],[*Py]]-Calculs!$C$7)^2)</f>
        <v>0</v>
      </c>
      <c r="U68" s="26" t="e">
        <f>DEGREES(ACOS((Calculs!$B$16^2+Tableau2[[#This Row],[*Dist C_P]]^2-Tableau2[[#This Row],[*Dist Cy0_P]]^2)/(2*Calculs!$B$16*Tableau2[[#This Row],[*Dist C_P]])))</f>
        <v>#DIV/0!</v>
      </c>
      <c r="V68" s="29" t="str">
        <f>IF(Caractérisation!$C$8="Gauche",-1,IF(Caractérisation!$C$8="Droite",1,"Erreur"))</f>
        <v>Erreur</v>
      </c>
      <c r="W68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68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68" s="26" t="str">
        <f>IF(Tableau2[[#This Row],[Erreur - Conf Av/Arr]]=0,Tableau2[[#This Row],[Réponse angulaire (degrés)]],"")</f>
        <v/>
      </c>
      <c r="Z68" s="26" t="str">
        <f>IFERROR(ABS(Tableau2[[#This Row],[Réponse angulaire (degrés)]]),"")</f>
        <v/>
      </c>
      <c r="AA68" s="26" t="str">
        <f t="shared" si="5"/>
        <v/>
      </c>
      <c r="AB68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68" s="29" t="str">
        <f>IFERROR(IF(ABS(Tableau2[[#This Row],[Réponse angulaire (degrés)]])&lt;=Identification!$B$13,1,0),"")</f>
        <v/>
      </c>
      <c r="AD68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68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68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68" s="68"/>
    </row>
    <row r="69" spans="1:33" x14ac:dyDescent="0.25">
      <c r="A69" s="18">
        <v>61</v>
      </c>
      <c r="B69" s="18" t="str">
        <f>Identification!$B$11&amp;'Entrée de données'!A69</f>
        <v>61</v>
      </c>
      <c r="C69" s="12" t="str">
        <f>IF(Identification!$B$11="","",VLOOKUP(Tableau2[[#This Row],[*No unique]],Tableau4[[No unique]:[Oreille]],3,FALSE))</f>
        <v/>
      </c>
      <c r="D69" s="12" t="str">
        <f>IF(Identification!$B$11="","",VLOOKUP(Tableau2[[#This Row],[*No unique]],Tableau4[[No unique]:[Oreille]],4,FALSE))</f>
        <v/>
      </c>
      <c r="E69" s="12" t="str">
        <f t="shared" si="3"/>
        <v/>
      </c>
      <c r="F69" s="12" t="str">
        <f t="shared" si="4"/>
        <v/>
      </c>
      <c r="G69" s="12" t="str">
        <f>IF(Identification!$B$11="","",VLOOKUP(Tableau2[[#This Row],[*No unique]],Tableau4[[No unique]:[Oreille]],5,FALSE))</f>
        <v/>
      </c>
      <c r="H69" s="12" t="str">
        <f>IF(Identification!$B$11="","",VLOOKUP(Tableau2[[#This Row],[*No unique]],Tableau4[[No unique]:[Angle et oreille]],8,FALSE))</f>
        <v/>
      </c>
      <c r="I69" s="12" t="str">
        <f>IF(Identification!$B$11="","",VLOOKUP(Tableau2[[#This Row],[*No unique]],Tableau4[[No unique]:[Oreille]],7,FALSE))</f>
        <v/>
      </c>
      <c r="J69" s="12">
        <f>IF(G69="G",Calculs!$B$5,Calculs!$B$6)</f>
        <v>0</v>
      </c>
      <c r="K69" s="12">
        <f>IF(G69="G",Calculs!$C$5,Calculs!$C$6)</f>
        <v>0</v>
      </c>
      <c r="L69" s="26">
        <f>IF(Tableau2[[#This Row],[HP émetteur]]="G",Calculs!$B$12,Calculs!$B$13)</f>
        <v>0</v>
      </c>
      <c r="M69" s="26" t="e">
        <f>IF(Tableau2[[#This Row],[HP émetteur]]="G",-Calculs!$B$20,Calculs!$B$21)</f>
        <v>#DIV/0!</v>
      </c>
      <c r="N69" s="12"/>
      <c r="O69" s="12"/>
      <c r="P69" s="12"/>
      <c r="Q69" s="12">
        <f>IF(O69="Y",0,N69*Caractérisation!$C$19)</f>
        <v>0</v>
      </c>
      <c r="R69" s="12">
        <f>IF(O69="Y",N69*Caractérisation!$C$19,0)</f>
        <v>0</v>
      </c>
      <c r="S69" s="26">
        <f>SQRT((Tableau2[[#This Row],[*Px]]-Calculs!$B$8)^2+(Tableau2[[#This Row],[*Py]]^2))</f>
        <v>0</v>
      </c>
      <c r="T69" s="26">
        <f>SQRT((Calculs!$B$7-Tableau2[[#This Row],[*Px]])^2+(Tableau2[[#This Row],[*Py]]-Calculs!$C$7)^2)</f>
        <v>0</v>
      </c>
      <c r="U69" s="26" t="e">
        <f>DEGREES(ACOS((Calculs!$B$16^2+Tableau2[[#This Row],[*Dist C_P]]^2-Tableau2[[#This Row],[*Dist Cy0_P]]^2)/(2*Calculs!$B$16*Tableau2[[#This Row],[*Dist C_P]])))</f>
        <v>#DIV/0!</v>
      </c>
      <c r="V69" s="29" t="str">
        <f>IF(Caractérisation!$C$8="Gauche",-1,IF(Caractérisation!$C$8="Droite",1,"Erreur"))</f>
        <v>Erreur</v>
      </c>
      <c r="W69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69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69" s="26" t="str">
        <f>IF(Tableau2[[#This Row],[Erreur - Conf Av/Arr]]=0,Tableau2[[#This Row],[Réponse angulaire (degrés)]],"")</f>
        <v/>
      </c>
      <c r="Z69" s="26" t="str">
        <f>IFERROR(ABS(Tableau2[[#This Row],[Réponse angulaire (degrés)]]),"")</f>
        <v/>
      </c>
      <c r="AA69" s="26" t="str">
        <f t="shared" si="5"/>
        <v/>
      </c>
      <c r="AB69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69" s="29" t="str">
        <f>IFERROR(IF(ABS(Tableau2[[#This Row],[Réponse angulaire (degrés)]])&lt;=Identification!$B$13,1,0),"")</f>
        <v/>
      </c>
      <c r="AD69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69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69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69" s="68"/>
    </row>
    <row r="70" spans="1:33" x14ac:dyDescent="0.25">
      <c r="A70" s="18">
        <v>62</v>
      </c>
      <c r="B70" s="18" t="str">
        <f>Identification!$B$11&amp;'Entrée de données'!A70</f>
        <v>62</v>
      </c>
      <c r="C70" s="12" t="str">
        <f>IF(Identification!$B$11="","",VLOOKUP(Tableau2[[#This Row],[*No unique]],Tableau4[[No unique]:[Oreille]],3,FALSE))</f>
        <v/>
      </c>
      <c r="D70" s="12" t="str">
        <f>IF(Identification!$B$11="","",VLOOKUP(Tableau2[[#This Row],[*No unique]],Tableau4[[No unique]:[Oreille]],4,FALSE))</f>
        <v/>
      </c>
      <c r="E70" s="12" t="str">
        <f t="shared" si="3"/>
        <v/>
      </c>
      <c r="F70" s="12" t="str">
        <f t="shared" si="4"/>
        <v/>
      </c>
      <c r="G70" s="12" t="str">
        <f>IF(Identification!$B$11="","",VLOOKUP(Tableau2[[#This Row],[*No unique]],Tableau4[[No unique]:[Oreille]],5,FALSE))</f>
        <v/>
      </c>
      <c r="H70" s="12" t="str">
        <f>IF(Identification!$B$11="","",VLOOKUP(Tableau2[[#This Row],[*No unique]],Tableau4[[No unique]:[Angle et oreille]],8,FALSE))</f>
        <v/>
      </c>
      <c r="I70" s="12" t="str">
        <f>IF(Identification!$B$11="","",VLOOKUP(Tableau2[[#This Row],[*No unique]],Tableau4[[No unique]:[Oreille]],7,FALSE))</f>
        <v/>
      </c>
      <c r="J70" s="12">
        <f>IF(G70="G",Calculs!$B$5,Calculs!$B$6)</f>
        <v>0</v>
      </c>
      <c r="K70" s="12">
        <f>IF(G70="G",Calculs!$C$5,Calculs!$C$6)</f>
        <v>0</v>
      </c>
      <c r="L70" s="26">
        <f>IF(Tableau2[[#This Row],[HP émetteur]]="G",Calculs!$B$12,Calculs!$B$13)</f>
        <v>0</v>
      </c>
      <c r="M70" s="26" t="e">
        <f>IF(Tableau2[[#This Row],[HP émetteur]]="G",-Calculs!$B$20,Calculs!$B$21)</f>
        <v>#DIV/0!</v>
      </c>
      <c r="N70" s="12"/>
      <c r="O70" s="12"/>
      <c r="P70" s="12"/>
      <c r="Q70" s="12">
        <f>IF(O70="Y",0,N70*Caractérisation!$C$19)</f>
        <v>0</v>
      </c>
      <c r="R70" s="12">
        <f>IF(O70="Y",N70*Caractérisation!$C$19,0)</f>
        <v>0</v>
      </c>
      <c r="S70" s="26">
        <f>SQRT((Tableau2[[#This Row],[*Px]]-Calculs!$B$8)^2+(Tableau2[[#This Row],[*Py]]^2))</f>
        <v>0</v>
      </c>
      <c r="T70" s="26">
        <f>SQRT((Calculs!$B$7-Tableau2[[#This Row],[*Px]])^2+(Tableau2[[#This Row],[*Py]]-Calculs!$C$7)^2)</f>
        <v>0</v>
      </c>
      <c r="U70" s="26" t="e">
        <f>DEGREES(ACOS((Calculs!$B$16^2+Tableau2[[#This Row],[*Dist C_P]]^2-Tableau2[[#This Row],[*Dist Cy0_P]]^2)/(2*Calculs!$B$16*Tableau2[[#This Row],[*Dist C_P]])))</f>
        <v>#DIV/0!</v>
      </c>
      <c r="V70" s="29" t="str">
        <f>IF(Caractérisation!$C$8="Gauche",-1,IF(Caractérisation!$C$8="Droite",1,"Erreur"))</f>
        <v>Erreur</v>
      </c>
      <c r="W70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70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70" s="26" t="str">
        <f>IF(Tableau2[[#This Row],[Erreur - Conf Av/Arr]]=0,Tableau2[[#This Row],[Réponse angulaire (degrés)]],"")</f>
        <v/>
      </c>
      <c r="Z70" s="26" t="str">
        <f>IFERROR(ABS(Tableau2[[#This Row],[Réponse angulaire (degrés)]]),"")</f>
        <v/>
      </c>
      <c r="AA70" s="26" t="str">
        <f t="shared" si="5"/>
        <v/>
      </c>
      <c r="AB70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70" s="29" t="str">
        <f>IFERROR(IF(ABS(Tableau2[[#This Row],[Réponse angulaire (degrés)]])&lt;=Identification!$B$13,1,0),"")</f>
        <v/>
      </c>
      <c r="AD70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70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70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70" s="68"/>
    </row>
    <row r="71" spans="1:33" x14ac:dyDescent="0.25">
      <c r="A71" s="18">
        <v>63</v>
      </c>
      <c r="B71" s="18" t="str">
        <f>Identification!$B$11&amp;'Entrée de données'!A71</f>
        <v>63</v>
      </c>
      <c r="C71" s="12" t="str">
        <f>IF(Identification!$B$11="","",VLOOKUP(Tableau2[[#This Row],[*No unique]],Tableau4[[No unique]:[Oreille]],3,FALSE))</f>
        <v/>
      </c>
      <c r="D71" s="12" t="str">
        <f>IF(Identification!$B$11="","",VLOOKUP(Tableau2[[#This Row],[*No unique]],Tableau4[[No unique]:[Oreille]],4,FALSE))</f>
        <v/>
      </c>
      <c r="E71" s="12" t="str">
        <f t="shared" si="3"/>
        <v/>
      </c>
      <c r="F71" s="12" t="str">
        <f t="shared" si="4"/>
        <v/>
      </c>
      <c r="G71" s="12" t="str">
        <f>IF(Identification!$B$11="","",VLOOKUP(Tableau2[[#This Row],[*No unique]],Tableau4[[No unique]:[Oreille]],5,FALSE))</f>
        <v/>
      </c>
      <c r="H71" s="12" t="str">
        <f>IF(Identification!$B$11="","",VLOOKUP(Tableau2[[#This Row],[*No unique]],Tableau4[[No unique]:[Angle et oreille]],8,FALSE))</f>
        <v/>
      </c>
      <c r="I71" s="12" t="str">
        <f>IF(Identification!$B$11="","",VLOOKUP(Tableau2[[#This Row],[*No unique]],Tableau4[[No unique]:[Oreille]],7,FALSE))</f>
        <v/>
      </c>
      <c r="J71" s="12">
        <f>IF(G71="G",Calculs!$B$5,Calculs!$B$6)</f>
        <v>0</v>
      </c>
      <c r="K71" s="12">
        <f>IF(G71="G",Calculs!$C$5,Calculs!$C$6)</f>
        <v>0</v>
      </c>
      <c r="L71" s="26">
        <f>IF(Tableau2[[#This Row],[HP émetteur]]="G",Calculs!$B$12,Calculs!$B$13)</f>
        <v>0</v>
      </c>
      <c r="M71" s="26" t="e">
        <f>IF(Tableau2[[#This Row],[HP émetteur]]="G",-Calculs!$B$20,Calculs!$B$21)</f>
        <v>#DIV/0!</v>
      </c>
      <c r="N71" s="12"/>
      <c r="O71" s="12"/>
      <c r="P71" s="12"/>
      <c r="Q71" s="12">
        <f>IF(O71="Y",0,N71*Caractérisation!$C$19)</f>
        <v>0</v>
      </c>
      <c r="R71" s="12">
        <f>IF(O71="Y",N71*Caractérisation!$C$19,0)</f>
        <v>0</v>
      </c>
      <c r="S71" s="26">
        <f>SQRT((Tableau2[[#This Row],[*Px]]-Calculs!$B$8)^2+(Tableau2[[#This Row],[*Py]]^2))</f>
        <v>0</v>
      </c>
      <c r="T71" s="26">
        <f>SQRT((Calculs!$B$7-Tableau2[[#This Row],[*Px]])^2+(Tableau2[[#This Row],[*Py]]-Calculs!$C$7)^2)</f>
        <v>0</v>
      </c>
      <c r="U71" s="26" t="e">
        <f>DEGREES(ACOS((Calculs!$B$16^2+Tableau2[[#This Row],[*Dist C_P]]^2-Tableau2[[#This Row],[*Dist Cy0_P]]^2)/(2*Calculs!$B$16*Tableau2[[#This Row],[*Dist C_P]])))</f>
        <v>#DIV/0!</v>
      </c>
      <c r="V71" s="29" t="str">
        <f>IF(Caractérisation!$C$8="Gauche",-1,IF(Caractérisation!$C$8="Droite",1,"Erreur"))</f>
        <v>Erreur</v>
      </c>
      <c r="W71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71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71" s="26" t="str">
        <f>IF(Tableau2[[#This Row],[Erreur - Conf Av/Arr]]=0,Tableau2[[#This Row],[Réponse angulaire (degrés)]],"")</f>
        <v/>
      </c>
      <c r="Z71" s="26" t="str">
        <f>IFERROR(ABS(Tableau2[[#This Row],[Réponse angulaire (degrés)]]),"")</f>
        <v/>
      </c>
      <c r="AA71" s="26" t="str">
        <f t="shared" si="5"/>
        <v/>
      </c>
      <c r="AB71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71" s="29" t="str">
        <f>IFERROR(IF(ABS(Tableau2[[#This Row],[Réponse angulaire (degrés)]])&lt;=Identification!$B$13,1,0),"")</f>
        <v/>
      </c>
      <c r="AD71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71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71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71" s="68"/>
    </row>
    <row r="72" spans="1:33" x14ac:dyDescent="0.25">
      <c r="A72" s="23">
        <v>64</v>
      </c>
      <c r="B72" s="23" t="str">
        <f>Identification!$B$11&amp;'Entrée de données'!A72</f>
        <v>64</v>
      </c>
      <c r="C72" s="12" t="str">
        <f>IF(Identification!$B$11="","",VLOOKUP(Tableau2[[#This Row],[*No unique]],Tableau4[[No unique]:[Oreille]],3,FALSE))</f>
        <v/>
      </c>
      <c r="D72" s="12" t="str">
        <f>IF(Identification!$B$11="","",VLOOKUP(Tableau2[[#This Row],[*No unique]],Tableau4[[No unique]:[Oreille]],4,FALSE))</f>
        <v/>
      </c>
      <c r="E72" s="12" t="str">
        <f t="shared" si="3"/>
        <v/>
      </c>
      <c r="F72" s="12" t="str">
        <f t="shared" si="4"/>
        <v/>
      </c>
      <c r="G72" s="12" t="str">
        <f>IF(Identification!$B$11="","",VLOOKUP(Tableau2[[#This Row],[*No unique]],Tableau4[[No unique]:[Oreille]],5,FALSE))</f>
        <v/>
      </c>
      <c r="H72" s="12" t="str">
        <f>IF(Identification!$B$11="","",VLOOKUP(Tableau2[[#This Row],[*No unique]],Tableau4[[No unique]:[Angle et oreille]],8,FALSE))</f>
        <v/>
      </c>
      <c r="I72" s="12" t="str">
        <f>IF(Identification!$B$11="","",VLOOKUP(Tableau2[[#This Row],[*No unique]],Tableau4[[No unique]:[Oreille]],7,FALSE))</f>
        <v/>
      </c>
      <c r="J72" s="12">
        <f>IF(G72="G",Calculs!$B$5,Calculs!$B$6)</f>
        <v>0</v>
      </c>
      <c r="K72" s="12">
        <f>IF(G72="G",Calculs!$C$5,Calculs!$C$6)</f>
        <v>0</v>
      </c>
      <c r="L72" s="26">
        <f>IF(Tableau2[[#This Row],[HP émetteur]]="G",Calculs!$B$12,Calculs!$B$13)</f>
        <v>0</v>
      </c>
      <c r="M72" s="27" t="e">
        <f>IF(Tableau2[[#This Row],[HP émetteur]]="G",-Calculs!$B$20,Calculs!$B$21)</f>
        <v>#DIV/0!</v>
      </c>
      <c r="N72" s="164"/>
      <c r="O72" s="164"/>
      <c r="P72" s="164"/>
      <c r="Q72" s="12">
        <f>IF(O72="Y",0,N72*Caractérisation!$C$19)</f>
        <v>0</v>
      </c>
      <c r="R72" s="12">
        <f>IF(O72="Y",N72*Caractérisation!$C$19,0)</f>
        <v>0</v>
      </c>
      <c r="S72" s="26">
        <f>SQRT((Tableau2[[#This Row],[*Px]]-Calculs!$B$8)^2+(Tableau2[[#This Row],[*Py]]^2))</f>
        <v>0</v>
      </c>
      <c r="T72" s="26">
        <f>SQRT((Calculs!$B$7-Tableau2[[#This Row],[*Px]])^2+(Tableau2[[#This Row],[*Py]]-Calculs!$C$7)^2)</f>
        <v>0</v>
      </c>
      <c r="U72" s="26" t="e">
        <f>DEGREES(ACOS((Calculs!$B$16^2+Tableau2[[#This Row],[*Dist C_P]]^2-Tableau2[[#This Row],[*Dist Cy0_P]]^2)/(2*Calculs!$B$16*Tableau2[[#This Row],[*Dist C_P]])))</f>
        <v>#DIV/0!</v>
      </c>
      <c r="V72" s="29" t="str">
        <f>IF(Caractérisation!$C$8="Gauche",-1,IF(Caractérisation!$C$8="Droite",1,"Erreur"))</f>
        <v>Erreur</v>
      </c>
      <c r="W72" s="26" t="str">
        <f>IFERROR(Tableau2[[#This Row],[*Angle P_C_Cy0]]*Tableau2[[#This Row],[*Modificateur d''angle]]-Tableau2[[#This Row],[*Angle HG/HD_C_Cy0]]+VLOOKUP(Tableau2[[#This Row],[No. Du laser (N,E, S,O)]],Calculs!$A$26:$B$29,2,FALSE),"")</f>
        <v/>
      </c>
      <c r="X72" s="26" t="str">
        <f>IFERROR(IF(Tableau2[[#This Row],[*Erreur angulaire temp]]&gt;180,-360+Tableau2[[#This Row],[*Erreur angulaire temp]],IF(Tableau2[[#This Row],[*Erreur angulaire temp]]&lt;-180,360+Tableau2[[#This Row],[*Erreur angulaire temp]],Tableau2[[#This Row],[*Erreur angulaire temp]])),"")</f>
        <v/>
      </c>
      <c r="Y72" s="26" t="str">
        <f>IF(Tableau2[[#This Row],[Erreur - Conf Av/Arr]]=0,Tableau2[[#This Row],[Réponse angulaire (degrés)]],"")</f>
        <v/>
      </c>
      <c r="Z72" s="26" t="str">
        <f>IFERROR(ABS(Tableau2[[#This Row],[Réponse angulaire (degrés)]]),"")</f>
        <v/>
      </c>
      <c r="AA72" s="26" t="str">
        <f t="shared" si="5"/>
        <v/>
      </c>
      <c r="AB72" s="12" t="str">
        <f>IF(Tableau2[[#This Row],[Réponse angulaire (degrés)]]="","",IF(Tableau2[[#This Row],[Réponse angulaire (degrés)]]&lt;0,"À gauche de la cible",IF(Tableau2[[#This Row],[Réponse angulaire (degrés)]]&gt;0,"À droite de la cible","Sur la cible")))</f>
        <v/>
      </c>
      <c r="AC72" s="29" t="str">
        <f>IFERROR(IF(ABS(Tableau2[[#This Row],[Réponse angulaire (degrés)]])&lt;=Identification!$B$13,1,0),"")</f>
        <v/>
      </c>
      <c r="AD72" s="29" t="str">
        <f>IF(Tableau2[[#This Row],[Réponse angulaire (degrés)]]="","",VLOOKUP(OR(AND(Tableau2[[#This Row],[Réponse angulaire (degrés)]]&gt;=VLOOKUP(Tableau2[[#This Row],[Dépl. / Angle et Oreille]],Confusions!$A$7:$M$14,2,FALSE),Tableau2[[#This Row],[Réponse angulaire (degrés)]]&lt;VLOOKUP(Tableau2[[#This Row],[Dépl. / Angle et Oreille]],Confusions!$A$7:$M$14,3,FALSE)),AND(Tableau2[[#This Row],[Réponse angulaire (degrés)]]&gt;VLOOKUP(Tableau2[[#This Row],[Dépl. / Angle et Oreille]],Confusions!$A$7:$M$14,4,FALSE),Tableau2[[#This Row],[Réponse angulaire (degrés)]]&lt;=VLOOKUP(Tableau2[[#This Row],[Dépl. / Angle et Oreille]],Confusions!$A$7:$M$14,5,FALSE))),Confusions!$A$17:$E$18,2,FALSE))</f>
        <v/>
      </c>
      <c r="AE72" s="29" t="str">
        <f>IF(Tableau2[[#This Row],[Réponse angulaire (degrés)]]="","",VLOOKUP(OR(AND(Tableau2[[#This Row],[Réponse angulaire (degrés)]]&gt;VLOOKUP(Tableau2[[#This Row],[Dépl. / Angle et Oreille]],Confusions!$A$7:$M$14,6,FALSE),Tableau2[[#This Row],[Réponse angulaire (degrés)]]&lt;=VLOOKUP(Tableau2[[#This Row],[Dépl. / Angle et Oreille]],Confusions!$A$7:$M$14,7,FALSE)),AND(Tableau2[[#This Row],[Réponse angulaire (degrés)]]&gt;=VLOOKUP(Tableau2[[#This Row],[Dépl. / Angle et Oreille]],Confusions!$A$7:$M$14,8,FALSE),Tableau2[[#This Row],[Réponse angulaire (degrés)]]&lt;VLOOKUP(Tableau2[[#This Row],[Dépl. / Angle et Oreille]],Confusions!$A$7:$M$14,9,FALSE))),Confusions!$A$17:$E$18,2,FALSE))</f>
        <v/>
      </c>
      <c r="AF72" s="29" t="str">
        <f>IF(Tableau2[[#This Row],[Réponse angulaire (degrés)]]="","",VLOOKUP(OR(AND(Tableau2[[#This Row],[Réponse angulaire (degrés)]]&gt;VLOOKUP(Tableau2[[#This Row],[Dépl. / Angle et Oreille]],Confusions!$A$7:$M$14,10,FALSE),Tableau2[[#This Row],[Réponse angulaire (degrés)]]&lt;=VLOOKUP(Tableau2[[#This Row],[Dépl. / Angle et Oreille]],Confusions!$A$7:$M$14,11,FALSE)),AND(Tableau2[[#This Row],[Réponse angulaire (degrés)]]&gt;=VLOOKUP(Tableau2[[#This Row],[Dépl. / Angle et Oreille]],Confusions!$A$7:$M$14,12,FALSE),Tableau2[[#This Row],[Réponse angulaire (degrés)]]&lt;VLOOKUP(Tableau2[[#This Row],[Dépl. / Angle et Oreille]],Confusions!$A$7:$M$14,13,FALSE))),Confusions!$A$17:$E$18,2,FALSE))</f>
        <v/>
      </c>
      <c r="AG72" s="68"/>
    </row>
  </sheetData>
  <sheetProtection algorithmName="SHA-512" hashValue="YcaurMsJdUdSqEQfAbCbR8x44F5tDkh5hYOtiKuIx91ZL8NK7ZWoAU9wQ+u4x9+h06taawLDDGA4Q1dShR7obg==" saltValue="BQx3+bKXFbGEI2E0UNHbIA==" spinCount="100000" sheet="1" objects="1" scenarios="1"/>
  <protectedRanges>
    <protectedRange sqref="N9:P72 AG9:AG72" name="Données_1"/>
  </protectedRanges>
  <conditionalFormatting sqref="AC9:AC72">
    <cfRule type="expression" dxfId="58" priority="1">
      <formula>IF($AC9="",0,IF($AC9&gt;0.9,1,0))</formula>
    </cfRule>
  </conditionalFormatting>
  <conditionalFormatting sqref="AD9:AD72">
    <cfRule type="expression" dxfId="57" priority="5">
      <formula>IF($AD9="",0,IF($AD9&gt;0.9,1,0))</formula>
    </cfRule>
  </conditionalFormatting>
  <conditionalFormatting sqref="AE9:AE72">
    <cfRule type="expression" dxfId="56" priority="3">
      <formula>IF($AE9="",0,IF($AE9&gt;0.9,1,0))</formula>
    </cfRule>
  </conditionalFormatting>
  <conditionalFormatting sqref="AF9:AF72">
    <cfRule type="expression" dxfId="55" priority="2">
      <formula>IF($AF9="",0,IF($AF9&gt;0.9,1,0))</formula>
    </cfRule>
  </conditionalFormatting>
  <pageMargins left="0.7" right="0.7" top="0.75" bottom="0.75" header="0.3" footer="0.3"/>
  <pageSetup scale="59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7"/>
  <sheetViews>
    <sheetView showGridLines="0" topLeftCell="A22" zoomScale="115" zoomScaleNormal="115" zoomScaleSheetLayoutView="85" workbookViewId="0">
      <selection activeCell="I20" sqref="I20"/>
    </sheetView>
  </sheetViews>
  <sheetFormatPr baseColWidth="10" defaultColWidth="11.42578125" defaultRowHeight="15" x14ac:dyDescent="0.25"/>
  <cols>
    <col min="1" max="1" width="13.5703125" customWidth="1"/>
    <col min="2" max="3" width="12" customWidth="1"/>
    <col min="4" max="4" width="2.28515625" customWidth="1"/>
    <col min="5" max="6" width="12" customWidth="1"/>
    <col min="9" max="9" width="16.28515625" customWidth="1"/>
    <col min="11" max="19" width="11.42578125" hidden="1" customWidth="1"/>
  </cols>
  <sheetData>
    <row r="1" spans="1:7" ht="23.25" x14ac:dyDescent="0.35">
      <c r="A1" s="4" t="s">
        <v>81</v>
      </c>
    </row>
    <row r="2" spans="1:7" x14ac:dyDescent="0.25">
      <c r="A2" t="str">
        <f>"Nom de l'usager : "&amp;Identification!B3</f>
        <v xml:space="preserve">Nom de l'usager : </v>
      </c>
    </row>
    <row r="3" spans="1:7" x14ac:dyDescent="0.25">
      <c r="A3" t="str">
        <f>"Date du test : "&amp;YEAR(Identification!B7)&amp;"-"&amp;TEXT(MONTH(Identification!B7),"00")&amp;"-"&amp;TEXT(DAY(Identification!B7),"00")</f>
        <v>Date du test : 1900-01-00</v>
      </c>
    </row>
    <row r="4" spans="1:7" x14ac:dyDescent="0.25">
      <c r="A4" t="str">
        <f>"No. De la séquence de test : "&amp; Identification!B11</f>
        <v xml:space="preserve">No. De la séquence de test : </v>
      </c>
      <c r="G4" s="16"/>
    </row>
    <row r="5" spans="1:7" ht="18.75" x14ac:dyDescent="0.3">
      <c r="G5" s="36"/>
    </row>
    <row r="6" spans="1:7" x14ac:dyDescent="0.25">
      <c r="E6" s="172" t="s">
        <v>82</v>
      </c>
      <c r="F6" s="173"/>
      <c r="G6" s="174"/>
    </row>
    <row r="7" spans="1:7" ht="30" x14ac:dyDescent="0.25">
      <c r="C7" s="51" t="s">
        <v>83</v>
      </c>
      <c r="D7" s="141"/>
      <c r="E7" s="103" t="s">
        <v>118</v>
      </c>
      <c r="F7" s="103" t="s">
        <v>84</v>
      </c>
      <c r="G7" s="103" t="s">
        <v>85</v>
      </c>
    </row>
    <row r="8" spans="1:7" x14ac:dyDescent="0.25">
      <c r="A8" s="175" t="s">
        <v>86</v>
      </c>
      <c r="B8" s="176"/>
      <c r="C8" s="17">
        <f>COUNT(Tableau2[Réponse angulaire (degrés)])</f>
        <v>0</v>
      </c>
      <c r="D8" s="140"/>
      <c r="E8" s="143"/>
      <c r="F8" s="144"/>
      <c r="G8" s="145"/>
    </row>
    <row r="9" spans="1:7" x14ac:dyDescent="0.25">
      <c r="A9" s="175" t="s">
        <v>87</v>
      </c>
      <c r="B9" s="175"/>
      <c r="C9" s="95" t="str">
        <f>IFERROR(SUM(Tableau2[Réussite])/C8,"")</f>
        <v/>
      </c>
      <c r="D9" s="142"/>
      <c r="E9" s="100">
        <v>0.85899999999999999</v>
      </c>
      <c r="F9" s="100">
        <v>0.498</v>
      </c>
      <c r="G9" s="100">
        <v>0.95499999999999996</v>
      </c>
    </row>
    <row r="10" spans="1:7" x14ac:dyDescent="0.25">
      <c r="A10" s="108"/>
      <c r="B10" s="108"/>
      <c r="C10" s="109"/>
      <c r="D10" s="109"/>
      <c r="E10" s="110"/>
      <c r="F10" s="110"/>
      <c r="G10" s="110"/>
    </row>
    <row r="11" spans="1:7" x14ac:dyDescent="0.25">
      <c r="A11" s="108"/>
      <c r="B11" s="108"/>
      <c r="C11" s="109"/>
      <c r="D11" s="109"/>
      <c r="E11" s="110"/>
      <c r="F11" s="110"/>
      <c r="G11" s="110"/>
    </row>
    <row r="12" spans="1:7" ht="18.75" x14ac:dyDescent="0.3">
      <c r="G12" s="36"/>
    </row>
    <row r="13" spans="1:7" ht="18.75" x14ac:dyDescent="0.3">
      <c r="G13" s="36"/>
    </row>
    <row r="14" spans="1:7" ht="18.75" x14ac:dyDescent="0.3">
      <c r="G14" s="36"/>
    </row>
    <row r="15" spans="1:7" ht="30" x14ac:dyDescent="0.25">
      <c r="C15" s="51" t="s">
        <v>83</v>
      </c>
      <c r="D15" s="178" t="s">
        <v>88</v>
      </c>
      <c r="E15" s="179"/>
      <c r="F15" s="99"/>
      <c r="G15" s="99"/>
    </row>
    <row r="16" spans="1:7" ht="43.15" customHeight="1" x14ac:dyDescent="0.25">
      <c r="A16" s="177" t="s">
        <v>208</v>
      </c>
      <c r="B16" s="177"/>
      <c r="C16" s="101" t="str">
        <f>IFERROR(AVERAGEIF(Tableau2[Erreur - Conf Av/Arr],0,Tableau2[Réponse angulaire (degrés)]),"")</f>
        <v/>
      </c>
      <c r="D16" s="126" t="s">
        <v>194</v>
      </c>
      <c r="E16" s="128">
        <v>18.23</v>
      </c>
    </row>
    <row r="17" spans="1:19" ht="43.15" customHeight="1" x14ac:dyDescent="0.25">
      <c r="A17" s="177" t="s">
        <v>209</v>
      </c>
      <c r="B17" s="177"/>
      <c r="C17" s="101" t="str">
        <f>IFERROR(AVERAGEIF(Tableau2[Erreur - Conf Av/Arr],0,Tableau2[Réponse angulaire (abs)]),"")</f>
        <v/>
      </c>
      <c r="D17" s="127"/>
      <c r="E17" s="128">
        <v>17.059999999999999</v>
      </c>
    </row>
    <row r="18" spans="1:19" ht="43.15" customHeight="1" x14ac:dyDescent="0.25">
      <c r="A18" s="177" t="s">
        <v>210</v>
      </c>
      <c r="B18" s="177"/>
      <c r="C18" s="101" t="str">
        <f>IFERROR(STDEV(Tableau2[Réponse angulaire sans CAA]),"")</f>
        <v/>
      </c>
      <c r="D18" s="127" t="s">
        <v>194</v>
      </c>
      <c r="E18" s="128">
        <v>10.88</v>
      </c>
    </row>
    <row r="19" spans="1:19" ht="43.15" customHeight="1" x14ac:dyDescent="0.25">
      <c r="A19" s="177" t="s">
        <v>211</v>
      </c>
      <c r="B19" s="177"/>
      <c r="C19" s="97">
        <f>IFERROR(ROUND(MIN(Tableau2[Réponse angulaire sans CAA]),1),"")</f>
        <v>0</v>
      </c>
      <c r="D19" s="166"/>
      <c r="E19" s="131"/>
    </row>
    <row r="20" spans="1:19" ht="43.15" customHeight="1" x14ac:dyDescent="0.25">
      <c r="A20" s="177" t="s">
        <v>212</v>
      </c>
      <c r="B20" s="177"/>
      <c r="C20" s="97">
        <f>IFERROR(ROUND(MAX(Tableau2[Réponse angulaire sans CAA]),1),"")</f>
        <v>0</v>
      </c>
      <c r="D20" s="166"/>
      <c r="E20" s="131"/>
    </row>
    <row r="21" spans="1:19" x14ac:dyDescent="0.25">
      <c r="A21" s="129" t="s">
        <v>89</v>
      </c>
      <c r="B21" s="34"/>
      <c r="C21" s="102"/>
      <c r="D21" s="102"/>
      <c r="E21" s="91"/>
    </row>
    <row r="22" spans="1:19" x14ac:dyDescent="0.25">
      <c r="A22" s="34"/>
      <c r="B22" s="34"/>
      <c r="C22" s="31"/>
      <c r="D22" s="31"/>
    </row>
    <row r="23" spans="1:19" x14ac:dyDescent="0.25">
      <c r="A23" s="34"/>
      <c r="B23" s="34"/>
      <c r="C23" s="31"/>
      <c r="D23" s="31"/>
    </row>
    <row r="24" spans="1:19" ht="18.75" x14ac:dyDescent="0.25">
      <c r="A24" s="93" t="s">
        <v>90</v>
      </c>
      <c r="B24" s="31"/>
      <c r="E24" s="46"/>
    </row>
    <row r="25" spans="1:19" ht="18.75" x14ac:dyDescent="0.25">
      <c r="A25" s="93"/>
      <c r="B25" s="31"/>
      <c r="E25" s="46"/>
    </row>
    <row r="26" spans="1:19" x14ac:dyDescent="0.25">
      <c r="A26" s="47"/>
      <c r="B26" s="167" t="s">
        <v>91</v>
      </c>
      <c r="C26" s="168"/>
      <c r="D26" s="104"/>
      <c r="E26" s="169" t="s">
        <v>213</v>
      </c>
      <c r="F26" s="170"/>
      <c r="G26" s="171"/>
      <c r="K26" s="55" t="s">
        <v>93</v>
      </c>
      <c r="L26" s="56"/>
      <c r="M26" s="57" t="s">
        <v>94</v>
      </c>
      <c r="N26" s="57"/>
      <c r="O26" s="58" t="s">
        <v>95</v>
      </c>
      <c r="P26" s="58"/>
      <c r="Q26" s="58"/>
      <c r="R26" s="58"/>
    </row>
    <row r="27" spans="1:19" ht="45" x14ac:dyDescent="0.25">
      <c r="A27" s="34"/>
      <c r="B27" s="96" t="s">
        <v>86</v>
      </c>
      <c r="C27" s="151" t="s">
        <v>96</v>
      </c>
      <c r="D27" s="130"/>
      <c r="E27" s="88" t="s">
        <v>97</v>
      </c>
      <c r="F27" s="88" t="s">
        <v>98</v>
      </c>
      <c r="G27" s="88" t="s">
        <v>99</v>
      </c>
      <c r="K27" s="8" t="s">
        <v>100</v>
      </c>
      <c r="L27" s="8" t="s">
        <v>101</v>
      </c>
      <c r="M27" s="8" t="s">
        <v>102</v>
      </c>
      <c r="N27" s="8" t="s">
        <v>103</v>
      </c>
      <c r="O27" s="51" t="s">
        <v>104</v>
      </c>
      <c r="P27" s="8" t="s">
        <v>105</v>
      </c>
      <c r="Q27" s="8" t="s">
        <v>106</v>
      </c>
      <c r="R27" s="8" t="s">
        <v>107</v>
      </c>
      <c r="S27" s="8" t="s">
        <v>218</v>
      </c>
    </row>
    <row r="28" spans="1:19" ht="15" customHeight="1" x14ac:dyDescent="0.25">
      <c r="A28" s="45" t="s">
        <v>108</v>
      </c>
      <c r="B28" s="30">
        <f>COUNTIFS(Tableau2[Dépl. / Angle et Oreille],Analyse!A28,Tableau2[No. Du laser (N,E, S,O)],"&lt;&gt;")</f>
        <v>0</v>
      </c>
      <c r="C28" s="152">
        <f>COUNTIFS(Tableau2[Réussite],0,Tableau2[Dépl. / Angle et Oreille],Analyse!A28)</f>
        <v>0</v>
      </c>
      <c r="D28" s="150"/>
      <c r="E28" s="12">
        <f>SUMIF(Tableau2[Dépl. / Angle et Oreille],Analyse!A28,Tableau2[Erreur - Conf Av/Arr])</f>
        <v>0</v>
      </c>
      <c r="F28" s="12">
        <f>SUMIF(Tableau2[Dépl. / Angle et Oreille],Analyse!A28,Tableau2[Erreur - Conf G/D])</f>
        <v>0</v>
      </c>
      <c r="G28" s="12">
        <f>SUMIF(Tableau2[Dépl. / Angle et Oreille],Analyse!A28,Tableau2[Erreur intra-quadrant])</f>
        <v>0</v>
      </c>
      <c r="K28" s="59">
        <f>COUNTIFS(Tableau2[Dépl. / Angle et Oreille],Analyse!A28,Tableau2[*Intensité],65,Tableau2[Réussite],1)/4</f>
        <v>0</v>
      </c>
      <c r="L28" s="59">
        <f>COUNTIFS(Tableau2[Dépl. / Angle et Oreille],Analyse!A28,Tableau2[*Intensité],50,Tableau2[Réussite],1)/4</f>
        <v>0</v>
      </c>
      <c r="M28" s="59">
        <f>COUNTIFS(Tableau2[Dépl. / Angle et Oreille],Analyse!A28,Tableau2[*Pavé],"S",Tableau2[Réussite],1)/4</f>
        <v>0</v>
      </c>
      <c r="N28" s="59">
        <f>COUNTIFS(Tableau2[Dépl. / Angle et Oreille],Analyse!A28,Tableau2[*Pavé],"M",Tableau2[Réussite],1)/4</f>
        <v>0</v>
      </c>
      <c r="O28" s="59">
        <f>COUNTIFS(Tableau2[Dépl. / Angle et Oreille],Analyse!A28,Tableau2[Intensité dB HL et pavé],"65, S",Tableau2[Réussite],1)/2</f>
        <v>0</v>
      </c>
      <c r="P28" s="59">
        <f>COUNTIFS(Tableau2[Dépl. / Angle et Oreille],Analyse!A28,Tableau2[Intensité dB HL et pavé],"65, M",Tableau2[Réussite],1)/2</f>
        <v>0</v>
      </c>
      <c r="Q28" s="59">
        <f>COUNTIFS(Tableau2[Dépl. / Angle et Oreille],Analyse!A28,Tableau2[Intensité dB HL et pavé],"50, S",Tableau2[Réussite],1)/2</f>
        <v>0</v>
      </c>
      <c r="R28" s="59">
        <f>COUNTIFS(Tableau2[Dépl. / Angle et Oreille],Analyse!A28,Tableau2[Intensité dB HL et pavé],"50, M",Tableau2[Réussite],1)/2</f>
        <v>0</v>
      </c>
      <c r="S28" s="3" t="str">
        <f>IFERROR((B28-C28)/B28,"")</f>
        <v/>
      </c>
    </row>
    <row r="29" spans="1:19" x14ac:dyDescent="0.25">
      <c r="A29" s="45" t="s">
        <v>109</v>
      </c>
      <c r="B29" s="30">
        <f>COUNTIFS(Tableau2[Dépl. / Angle et Oreille],Analyse!A29,Tableau2[No. Du laser (N,E, S,O)],"&lt;&gt;")</f>
        <v>0</v>
      </c>
      <c r="C29" s="152">
        <f>COUNTIFS(Tableau2[Réussite],0,Tableau2[Dépl. / Angle et Oreille],Analyse!A29)</f>
        <v>0</v>
      </c>
      <c r="D29" s="150"/>
      <c r="E29" s="12">
        <f>SUMIF(Tableau2[Dépl. / Angle et Oreille],Analyse!A29,Tableau2[Erreur - Conf Av/Arr])</f>
        <v>0</v>
      </c>
      <c r="F29" s="12">
        <f>SUMIF(Tableau2[Dépl. / Angle et Oreille],Analyse!A29,Tableau2[Erreur - Conf G/D])</f>
        <v>0</v>
      </c>
      <c r="G29" s="12">
        <f>SUMIF(Tableau2[Dépl. / Angle et Oreille],Analyse!A29,Tableau2[Erreur intra-quadrant])</f>
        <v>0</v>
      </c>
      <c r="K29" s="59">
        <f>COUNTIFS(Tableau2[Dépl. / Angle et Oreille],Analyse!A29,Tableau2[*Intensité],65,Tableau2[Réussite],1)/4</f>
        <v>0</v>
      </c>
      <c r="L29" s="59">
        <f>COUNTIFS(Tableau2[Dépl. / Angle et Oreille],Analyse!A29,Tableau2[*Intensité],50,Tableau2[Réussite],1)/4</f>
        <v>0</v>
      </c>
      <c r="M29" s="59">
        <f>COUNTIFS(Tableau2[Dépl. / Angle et Oreille],Analyse!A29,Tableau2[*Pavé],"S",Tableau2[Réussite],1)/4</f>
        <v>0</v>
      </c>
      <c r="N29" s="59">
        <f>COUNTIFS(Tableau2[Dépl. / Angle et Oreille],Analyse!A29,Tableau2[*Pavé],"M",Tableau2[Réussite],1)/4</f>
        <v>0</v>
      </c>
      <c r="O29" s="59">
        <f>COUNTIFS(Tableau2[Dépl. / Angle et Oreille],Analyse!A29,Tableau2[Intensité dB HL et pavé],"65, S",Tableau2[Réussite],1)/2</f>
        <v>0</v>
      </c>
      <c r="P29" s="59">
        <f>COUNTIFS(Tableau2[Dépl. / Angle et Oreille],Analyse!A29,Tableau2[Intensité dB HL et pavé],"65, M",Tableau2[Réussite],1)/2</f>
        <v>0</v>
      </c>
      <c r="Q29" s="59">
        <f>COUNTIFS(Tableau2[Dépl. / Angle et Oreille],Analyse!A29,Tableau2[Intensité dB HL et pavé],"50, S",Tableau2[Réussite],1)/2</f>
        <v>0</v>
      </c>
      <c r="R29" s="59">
        <f>COUNTIFS(Tableau2[Dépl. / Angle et Oreille],Analyse!A29,Tableau2[Intensité dB HL et pavé],"50, M",Tableau2[Réussite],1)/2</f>
        <v>0</v>
      </c>
      <c r="S29" s="3" t="str">
        <f t="shared" ref="S29:S35" si="0">IFERROR((B29-C29)/B29,"")</f>
        <v/>
      </c>
    </row>
    <row r="30" spans="1:19" x14ac:dyDescent="0.25">
      <c r="A30" s="45" t="s">
        <v>110</v>
      </c>
      <c r="B30" s="30">
        <f>COUNTIFS(Tableau2[Dépl. / Angle et Oreille],Analyse!A30,Tableau2[No. Du laser (N,E, S,O)],"&lt;&gt;")</f>
        <v>0</v>
      </c>
      <c r="C30" s="152">
        <f>COUNTIFS(Tableau2[Réussite],0,Tableau2[Dépl. / Angle et Oreille],Analyse!A30)</f>
        <v>0</v>
      </c>
      <c r="D30" s="150"/>
      <c r="E30" s="12">
        <f>SUMIF(Tableau2[Dépl. / Angle et Oreille],Analyse!A30,Tableau2[Erreur - Conf Av/Arr])</f>
        <v>0</v>
      </c>
      <c r="F30" s="12">
        <f>SUMIF(Tableau2[Dépl. / Angle et Oreille],Analyse!A30,Tableau2[Erreur - Conf G/D])</f>
        <v>0</v>
      </c>
      <c r="G30" s="12">
        <f>SUMIF(Tableau2[Dépl. / Angle et Oreille],Analyse!A30,Tableau2[Erreur intra-quadrant])</f>
        <v>0</v>
      </c>
      <c r="K30" s="59">
        <f>COUNTIFS(Tableau2[Dépl. / Angle et Oreille],Analyse!A30,Tableau2[*Intensité],65,Tableau2[Réussite],1)/4</f>
        <v>0</v>
      </c>
      <c r="L30" s="59">
        <f>COUNTIFS(Tableau2[Dépl. / Angle et Oreille],Analyse!A30,Tableau2[*Intensité],50,Tableau2[Réussite],1)/4</f>
        <v>0</v>
      </c>
      <c r="M30" s="59">
        <f>COUNTIFS(Tableau2[Dépl. / Angle et Oreille],Analyse!A30,Tableau2[*Pavé],"S",Tableau2[Réussite],1)/4</f>
        <v>0</v>
      </c>
      <c r="N30" s="59">
        <f>COUNTIFS(Tableau2[Dépl. / Angle et Oreille],Analyse!A30,Tableau2[*Pavé],"M",Tableau2[Réussite],1)/4</f>
        <v>0</v>
      </c>
      <c r="O30" s="59">
        <f>COUNTIFS(Tableau2[Dépl. / Angle et Oreille],Analyse!A30,Tableau2[Intensité dB HL et pavé],"65, S",Tableau2[Réussite],1)/2</f>
        <v>0</v>
      </c>
      <c r="P30" s="59">
        <f>COUNTIFS(Tableau2[Dépl. / Angle et Oreille],Analyse!A30,Tableau2[Intensité dB HL et pavé],"65, M",Tableau2[Réussite],1)/2</f>
        <v>0</v>
      </c>
      <c r="Q30" s="59">
        <f>COUNTIFS(Tableau2[Dépl. / Angle et Oreille],Analyse!A30,Tableau2[Intensité dB HL et pavé],"50, S",Tableau2[Réussite],1)/2</f>
        <v>0</v>
      </c>
      <c r="R30" s="59">
        <f>COUNTIFS(Tableau2[Dépl. / Angle et Oreille],Analyse!A30,Tableau2[Intensité dB HL et pavé],"50, M",Tableau2[Réussite],1)/2</f>
        <v>0</v>
      </c>
      <c r="S30" s="3" t="str">
        <f t="shared" si="0"/>
        <v/>
      </c>
    </row>
    <row r="31" spans="1:19" x14ac:dyDescent="0.25">
      <c r="A31" s="45" t="s">
        <v>111</v>
      </c>
      <c r="B31" s="30">
        <f>COUNTIFS(Tableau2[Dépl. / Angle et Oreille],Analyse!A31,Tableau2[No. Du laser (N,E, S,O)],"&lt;&gt;")</f>
        <v>0</v>
      </c>
      <c r="C31" s="152">
        <f>COUNTIFS(Tableau2[Réussite],0,Tableau2[Dépl. / Angle et Oreille],Analyse!A31)</f>
        <v>0</v>
      </c>
      <c r="D31" s="150"/>
      <c r="E31" s="12">
        <f>SUMIF(Tableau2[Dépl. / Angle et Oreille],Analyse!A31,Tableau2[Erreur - Conf Av/Arr])</f>
        <v>0</v>
      </c>
      <c r="F31" s="12">
        <f>SUMIF(Tableau2[Dépl. / Angle et Oreille],Analyse!A31,Tableau2[Erreur - Conf G/D])</f>
        <v>0</v>
      </c>
      <c r="G31" s="12">
        <f>SUMIF(Tableau2[Dépl. / Angle et Oreille],Analyse!A31,Tableau2[Erreur intra-quadrant])</f>
        <v>0</v>
      </c>
      <c r="K31" s="59">
        <f>COUNTIFS(Tableau2[Dépl. / Angle et Oreille],Analyse!A31,Tableau2[*Intensité],65,Tableau2[Réussite],1)/4</f>
        <v>0</v>
      </c>
      <c r="L31" s="59">
        <f>COUNTIFS(Tableau2[Dépl. / Angle et Oreille],Analyse!A31,Tableau2[*Intensité],50,Tableau2[Réussite],1)/4</f>
        <v>0</v>
      </c>
      <c r="M31" s="59">
        <f>COUNTIFS(Tableau2[Dépl. / Angle et Oreille],Analyse!A31,Tableau2[*Pavé],"S",Tableau2[Réussite],1)/4</f>
        <v>0</v>
      </c>
      <c r="N31" s="59">
        <f>COUNTIFS(Tableau2[Dépl. / Angle et Oreille],Analyse!A31,Tableau2[*Pavé],"M",Tableau2[Réussite],1)/4</f>
        <v>0</v>
      </c>
      <c r="O31" s="59">
        <f>COUNTIFS(Tableau2[Dépl. / Angle et Oreille],Analyse!A31,Tableau2[Intensité dB HL et pavé],"65, S",Tableau2[Réussite],1)/2</f>
        <v>0</v>
      </c>
      <c r="P31" s="59">
        <f>COUNTIFS(Tableau2[Dépl. / Angle et Oreille],Analyse!A31,Tableau2[Intensité dB HL et pavé],"65, M",Tableau2[Réussite],1)/2</f>
        <v>0</v>
      </c>
      <c r="Q31" s="59">
        <f>COUNTIFS(Tableau2[Dépl. / Angle et Oreille],Analyse!A31,Tableau2[Intensité dB HL et pavé],"50, S",Tableau2[Réussite],1)/2</f>
        <v>0</v>
      </c>
      <c r="R31" s="59">
        <f>COUNTIFS(Tableau2[Dépl. / Angle et Oreille],Analyse!A31,Tableau2[Intensité dB HL et pavé],"50, M",Tableau2[Réussite],1)/2</f>
        <v>0</v>
      </c>
      <c r="S31" s="3" t="str">
        <f t="shared" si="0"/>
        <v/>
      </c>
    </row>
    <row r="32" spans="1:19" x14ac:dyDescent="0.25">
      <c r="A32" s="45" t="s">
        <v>112</v>
      </c>
      <c r="B32" s="30">
        <f>COUNTIFS(Tableau2[Dépl. / Angle et Oreille],Analyse!A32,Tableau2[No. Du laser (N,E, S,O)],"&lt;&gt;")</f>
        <v>0</v>
      </c>
      <c r="C32" s="152">
        <f>COUNTIFS(Tableau2[Réussite],0,Tableau2[Dépl. / Angle et Oreille],Analyse!A32)</f>
        <v>0</v>
      </c>
      <c r="D32" s="150"/>
      <c r="E32" s="12">
        <f>SUMIF(Tableau2[Dépl. / Angle et Oreille],Analyse!A32,Tableau2[Erreur - Conf Av/Arr])</f>
        <v>0</v>
      </c>
      <c r="F32" s="12">
        <f>SUMIF(Tableau2[Dépl. / Angle et Oreille],Analyse!A32,Tableau2[Erreur - Conf G/D])</f>
        <v>0</v>
      </c>
      <c r="G32" s="12">
        <f>SUMIF(Tableau2[Dépl. / Angle et Oreille],Analyse!A32,Tableau2[Erreur intra-quadrant])</f>
        <v>0</v>
      </c>
      <c r="K32" s="59">
        <f>COUNTIFS(Tableau2[Dépl. / Angle et Oreille],Analyse!A32,Tableau2[*Intensité],65,Tableau2[Réussite],1)/4</f>
        <v>0</v>
      </c>
      <c r="L32" s="59">
        <f>COUNTIFS(Tableau2[Dépl. / Angle et Oreille],Analyse!A32,Tableau2[*Intensité],50,Tableau2[Réussite],1)/4</f>
        <v>0</v>
      </c>
      <c r="M32" s="59">
        <f>COUNTIFS(Tableau2[Dépl. / Angle et Oreille],Analyse!A32,Tableau2[*Pavé],"S",Tableau2[Réussite],1)/4</f>
        <v>0</v>
      </c>
      <c r="N32" s="59">
        <f>COUNTIFS(Tableau2[Dépl. / Angle et Oreille],Analyse!A32,Tableau2[*Pavé],"M",Tableau2[Réussite],1)/4</f>
        <v>0</v>
      </c>
      <c r="O32" s="59">
        <f>COUNTIFS(Tableau2[Dépl. / Angle et Oreille],Analyse!A32,Tableau2[Intensité dB HL et pavé],"65, S",Tableau2[Réussite],1)/2</f>
        <v>0</v>
      </c>
      <c r="P32" s="59">
        <f>COUNTIFS(Tableau2[Dépl. / Angle et Oreille],Analyse!A32,Tableau2[Intensité dB HL et pavé],"65, M",Tableau2[Réussite],1)/2</f>
        <v>0</v>
      </c>
      <c r="Q32" s="59">
        <f>COUNTIFS(Tableau2[Dépl. / Angle et Oreille],Analyse!A32,Tableau2[Intensité dB HL et pavé],"50, S",Tableau2[Réussite],1)/2</f>
        <v>0</v>
      </c>
      <c r="R32" s="59">
        <f>COUNTIFS(Tableau2[Dépl. / Angle et Oreille],Analyse!A32,Tableau2[Intensité dB HL et pavé],"50, M",Tableau2[Réussite],1)/2</f>
        <v>0</v>
      </c>
      <c r="S32" s="3" t="str">
        <f t="shared" si="0"/>
        <v/>
      </c>
    </row>
    <row r="33" spans="1:19" x14ac:dyDescent="0.25">
      <c r="A33" s="45" t="s">
        <v>113</v>
      </c>
      <c r="B33" s="30">
        <f>COUNTIFS(Tableau2[Dépl. / Angle et Oreille],Analyse!A33,Tableau2[No. Du laser (N,E, S,O)],"&lt;&gt;")</f>
        <v>0</v>
      </c>
      <c r="C33" s="152">
        <f>COUNTIFS(Tableau2[Réussite],0,Tableau2[Dépl. / Angle et Oreille],Analyse!A33)</f>
        <v>0</v>
      </c>
      <c r="D33" s="150"/>
      <c r="E33" s="12">
        <f>SUMIF(Tableau2[Dépl. / Angle et Oreille],Analyse!A33,Tableau2[Erreur - Conf Av/Arr])</f>
        <v>0</v>
      </c>
      <c r="F33" s="12">
        <f>SUMIF(Tableau2[Dépl. / Angle et Oreille],Analyse!A33,Tableau2[Erreur - Conf G/D])</f>
        <v>0</v>
      </c>
      <c r="G33" s="12">
        <f>SUMIF(Tableau2[Dépl. / Angle et Oreille],Analyse!A33,Tableau2[Erreur intra-quadrant])</f>
        <v>0</v>
      </c>
      <c r="K33" s="59">
        <f>COUNTIFS(Tableau2[Dépl. / Angle et Oreille],Analyse!A33,Tableau2[*Intensité],65,Tableau2[Réussite],1)/4</f>
        <v>0</v>
      </c>
      <c r="L33" s="59">
        <f>COUNTIFS(Tableau2[Dépl. / Angle et Oreille],Analyse!A33,Tableau2[*Intensité],50,Tableau2[Réussite],1)/4</f>
        <v>0</v>
      </c>
      <c r="M33" s="59">
        <f>COUNTIFS(Tableau2[Dépl. / Angle et Oreille],Analyse!A33,Tableau2[*Pavé],"S",Tableau2[Réussite],1)/4</f>
        <v>0</v>
      </c>
      <c r="N33" s="59">
        <f>COUNTIFS(Tableau2[Dépl. / Angle et Oreille],Analyse!A33,Tableau2[*Pavé],"M",Tableau2[Réussite],1)/4</f>
        <v>0</v>
      </c>
      <c r="O33" s="59">
        <f>COUNTIFS(Tableau2[Dépl. / Angle et Oreille],Analyse!A33,Tableau2[Intensité dB HL et pavé],"65, S",Tableau2[Réussite],1)/2</f>
        <v>0</v>
      </c>
      <c r="P33" s="59">
        <f>COUNTIFS(Tableau2[Dépl. / Angle et Oreille],Analyse!A33,Tableau2[Intensité dB HL et pavé],"65, M",Tableau2[Réussite],1)/2</f>
        <v>0</v>
      </c>
      <c r="Q33" s="59">
        <f>COUNTIFS(Tableau2[Dépl. / Angle et Oreille],Analyse!A33,Tableau2[Intensité dB HL et pavé],"50, S",Tableau2[Réussite],1)/2</f>
        <v>0</v>
      </c>
      <c r="R33" s="59">
        <f>COUNTIFS(Tableau2[Dépl. / Angle et Oreille],Analyse!A33,Tableau2[Intensité dB HL et pavé],"50, M",Tableau2[Réussite],1)/2</f>
        <v>0</v>
      </c>
      <c r="S33" s="3" t="str">
        <f t="shared" si="0"/>
        <v/>
      </c>
    </row>
    <row r="34" spans="1:19" x14ac:dyDescent="0.25">
      <c r="A34" s="45" t="s">
        <v>114</v>
      </c>
      <c r="B34" s="30">
        <f>COUNTIFS(Tableau2[Dépl. / Angle et Oreille],Analyse!A34,Tableau2[No. Du laser (N,E, S,O)],"&lt;&gt;")</f>
        <v>0</v>
      </c>
      <c r="C34" s="152">
        <f>COUNTIFS(Tableau2[Réussite],0,Tableau2[Dépl. / Angle et Oreille],Analyse!A34)</f>
        <v>0</v>
      </c>
      <c r="D34" s="150"/>
      <c r="E34" s="12">
        <f>SUMIF(Tableau2[Dépl. / Angle et Oreille],Analyse!A34,Tableau2[Erreur - Conf Av/Arr])</f>
        <v>0</v>
      </c>
      <c r="F34" s="12">
        <f>SUMIF(Tableau2[Dépl. / Angle et Oreille],Analyse!A34,Tableau2[Erreur - Conf G/D])</f>
        <v>0</v>
      </c>
      <c r="G34" s="12">
        <f>SUMIF(Tableau2[Dépl. / Angle et Oreille],Analyse!A34,Tableau2[Erreur intra-quadrant])</f>
        <v>0</v>
      </c>
      <c r="K34" s="59">
        <f>COUNTIFS(Tableau2[Dépl. / Angle et Oreille],Analyse!A34,Tableau2[*Intensité],65,Tableau2[Réussite],1)/4</f>
        <v>0</v>
      </c>
      <c r="L34" s="59">
        <f>COUNTIFS(Tableau2[Dépl. / Angle et Oreille],Analyse!A34,Tableau2[*Intensité],50,Tableau2[Réussite],1)/4</f>
        <v>0</v>
      </c>
      <c r="M34" s="59">
        <f>COUNTIFS(Tableau2[Dépl. / Angle et Oreille],Analyse!A34,Tableau2[*Pavé],"S",Tableau2[Réussite],1)/4</f>
        <v>0</v>
      </c>
      <c r="N34" s="59">
        <f>COUNTIFS(Tableau2[Dépl. / Angle et Oreille],Analyse!A34,Tableau2[*Pavé],"M",Tableau2[Réussite],1)/4</f>
        <v>0</v>
      </c>
      <c r="O34" s="59">
        <f>COUNTIFS(Tableau2[Dépl. / Angle et Oreille],Analyse!A34,Tableau2[Intensité dB HL et pavé],"65, S",Tableau2[Réussite],1)/2</f>
        <v>0</v>
      </c>
      <c r="P34" s="59">
        <f>COUNTIFS(Tableau2[Dépl. / Angle et Oreille],Analyse!A34,Tableau2[Intensité dB HL et pavé],"65, M",Tableau2[Réussite],1)/2</f>
        <v>0</v>
      </c>
      <c r="Q34" s="59">
        <f>COUNTIFS(Tableau2[Dépl. / Angle et Oreille],Analyse!A34,Tableau2[Intensité dB HL et pavé],"50, S",Tableau2[Réussite],1)/2</f>
        <v>0</v>
      </c>
      <c r="R34" s="59">
        <f>COUNTIFS(Tableau2[Dépl. / Angle et Oreille],Analyse!A34,Tableau2[Intensité dB HL et pavé],"50, M",Tableau2[Réussite],1)/2</f>
        <v>0</v>
      </c>
      <c r="S34" s="3" t="str">
        <f t="shared" si="0"/>
        <v/>
      </c>
    </row>
    <row r="35" spans="1:19" x14ac:dyDescent="0.25">
      <c r="A35" s="45" t="s">
        <v>115</v>
      </c>
      <c r="B35" s="30">
        <f>COUNTIFS(Tableau2[Dépl. / Angle et Oreille],Analyse!A35,Tableau2[No. Du laser (N,E, S,O)],"&lt;&gt;")</f>
        <v>0</v>
      </c>
      <c r="C35" s="152">
        <f>COUNTIFS(Tableau2[Réussite],0,Tableau2[Dépl. / Angle et Oreille],Analyse!A35)</f>
        <v>0</v>
      </c>
      <c r="D35" s="150"/>
      <c r="E35" s="12">
        <f>SUMIF(Tableau2[Dépl. / Angle et Oreille],Analyse!A35,Tableau2[Erreur - Conf Av/Arr])</f>
        <v>0</v>
      </c>
      <c r="F35" s="12">
        <f>SUMIF(Tableau2[Dépl. / Angle et Oreille],Analyse!A35,Tableau2[Erreur - Conf G/D])</f>
        <v>0</v>
      </c>
      <c r="G35" s="12">
        <f>SUMIF(Tableau2[Dépl. / Angle et Oreille],Analyse!A35,Tableau2[Erreur intra-quadrant])</f>
        <v>0</v>
      </c>
      <c r="K35" s="59">
        <f>COUNTIFS(Tableau2[Dépl. / Angle et Oreille],Analyse!A35,Tableau2[*Intensité],65,Tableau2[Réussite],1)/4</f>
        <v>0</v>
      </c>
      <c r="L35" s="59">
        <f>COUNTIFS(Tableau2[Dépl. / Angle et Oreille],Analyse!A35,Tableau2[*Intensité],50,Tableau2[Réussite],1)/4</f>
        <v>0</v>
      </c>
      <c r="M35" s="59">
        <f>COUNTIFS(Tableau2[Dépl. / Angle et Oreille],Analyse!A35,Tableau2[*Pavé],"S",Tableau2[Réussite],1)/4</f>
        <v>0</v>
      </c>
      <c r="N35" s="59">
        <f>COUNTIFS(Tableau2[Dépl. / Angle et Oreille],Analyse!A35,Tableau2[*Pavé],"M",Tableau2[Réussite],1)/4</f>
        <v>0</v>
      </c>
      <c r="O35" s="59">
        <f>COUNTIFS(Tableau2[Dépl. / Angle et Oreille],Analyse!A35,Tableau2[Intensité dB HL et pavé],"65, S",Tableau2[Réussite],1)/2</f>
        <v>0</v>
      </c>
      <c r="P35" s="59">
        <f>COUNTIFS(Tableau2[Dépl. / Angle et Oreille],Analyse!A35,Tableau2[Intensité dB HL et pavé],"65, M",Tableau2[Réussite],1)/2</f>
        <v>0</v>
      </c>
      <c r="Q35" s="59">
        <f>COUNTIFS(Tableau2[Dépl. / Angle et Oreille],Analyse!A35,Tableau2[Intensité dB HL et pavé],"50, S",Tableau2[Réussite],1)/2</f>
        <v>0</v>
      </c>
      <c r="R35" s="59">
        <f>COUNTIFS(Tableau2[Dépl. / Angle et Oreille],Analyse!A35,Tableau2[Intensité dB HL et pavé],"50, M",Tableau2[Réussite],1)/2</f>
        <v>0</v>
      </c>
      <c r="S35" s="3" t="str">
        <f t="shared" si="0"/>
        <v/>
      </c>
    </row>
    <row r="36" spans="1:19" x14ac:dyDescent="0.25">
      <c r="A36" s="129" t="s">
        <v>216</v>
      </c>
      <c r="B36" s="34"/>
      <c r="C36" s="102"/>
      <c r="D36" s="102"/>
      <c r="E36" s="91"/>
    </row>
    <row r="37" spans="1:19" x14ac:dyDescent="0.25">
      <c r="A37" s="52"/>
      <c r="B37" s="31"/>
      <c r="C37" s="53"/>
      <c r="D37" s="53"/>
      <c r="E37" s="53"/>
      <c r="F37" s="53"/>
      <c r="G37" s="53"/>
      <c r="K37" s="60"/>
      <c r="L37" s="60"/>
      <c r="M37" s="60"/>
      <c r="N37" s="60"/>
      <c r="O37" s="60"/>
      <c r="P37" s="60"/>
      <c r="Q37" s="60"/>
      <c r="R37" s="60"/>
    </row>
    <row r="38" spans="1:19" x14ac:dyDescent="0.25">
      <c r="K38" s="60"/>
      <c r="L38" s="60"/>
      <c r="M38" s="60"/>
      <c r="N38" s="60"/>
      <c r="O38" s="60"/>
      <c r="P38" s="60"/>
      <c r="Q38" s="60"/>
      <c r="R38" s="60"/>
    </row>
    <row r="39" spans="1:19" x14ac:dyDescent="0.25">
      <c r="K39" s="60"/>
      <c r="L39" s="60"/>
      <c r="M39" s="60"/>
      <c r="N39" s="60"/>
      <c r="O39" s="60"/>
      <c r="P39" s="60"/>
      <c r="Q39" s="60"/>
      <c r="R39" s="60"/>
    </row>
    <row r="40" spans="1:19" x14ac:dyDescent="0.25">
      <c r="K40" s="60"/>
      <c r="L40" s="60"/>
      <c r="M40" s="60"/>
      <c r="N40" s="60"/>
      <c r="O40" s="60"/>
      <c r="P40" s="60"/>
      <c r="Q40" s="60"/>
      <c r="R40" s="60"/>
    </row>
    <row r="41" spans="1:19" x14ac:dyDescent="0.25">
      <c r="K41" s="60"/>
      <c r="L41" s="60"/>
      <c r="M41" s="60"/>
      <c r="N41" s="60"/>
      <c r="O41" s="60"/>
      <c r="P41" s="60"/>
      <c r="Q41" s="60"/>
      <c r="R41" s="60"/>
    </row>
    <row r="42" spans="1:19" x14ac:dyDescent="0.25">
      <c r="K42" s="60"/>
      <c r="L42" s="60"/>
      <c r="M42" s="60"/>
      <c r="N42" s="60"/>
      <c r="O42" s="60"/>
      <c r="P42" s="60"/>
      <c r="Q42" s="60"/>
      <c r="R42" s="60"/>
    </row>
    <row r="43" spans="1:19" x14ac:dyDescent="0.25">
      <c r="K43" s="60"/>
      <c r="L43" s="60"/>
      <c r="M43" s="60"/>
      <c r="N43" s="60"/>
      <c r="O43" s="60"/>
      <c r="P43" s="60"/>
      <c r="Q43" s="60"/>
      <c r="R43" s="60"/>
    </row>
    <row r="44" spans="1:19" x14ac:dyDescent="0.25">
      <c r="K44" s="60"/>
      <c r="L44" s="60"/>
      <c r="M44" s="60"/>
      <c r="N44" s="60"/>
      <c r="O44" s="60"/>
      <c r="P44" s="60"/>
      <c r="Q44" s="60"/>
      <c r="R44" s="60"/>
    </row>
    <row r="45" spans="1:19" x14ac:dyDescent="0.25">
      <c r="K45" s="60"/>
      <c r="L45" s="60"/>
      <c r="M45" s="60"/>
      <c r="N45" s="60"/>
      <c r="O45" s="60"/>
      <c r="P45" s="60"/>
      <c r="Q45" s="60"/>
      <c r="R45" s="60"/>
    </row>
    <row r="46" spans="1:19" x14ac:dyDescent="0.25">
      <c r="K46" s="60"/>
      <c r="L46" s="60"/>
      <c r="M46" s="60"/>
      <c r="N46" s="60"/>
      <c r="O46" s="60"/>
      <c r="P46" s="60"/>
      <c r="Q46" s="60"/>
      <c r="R46" s="60"/>
    </row>
    <row r="47" spans="1:19" x14ac:dyDescent="0.25">
      <c r="K47" s="60"/>
      <c r="L47" s="60"/>
      <c r="M47" s="60"/>
      <c r="N47" s="60"/>
      <c r="O47" s="60"/>
      <c r="P47" s="60"/>
      <c r="Q47" s="60"/>
      <c r="R47" s="60"/>
    </row>
    <row r="48" spans="1:19" x14ac:dyDescent="0.25">
      <c r="K48" s="60"/>
      <c r="L48" s="60"/>
      <c r="M48" s="60"/>
      <c r="N48" s="60"/>
      <c r="O48" s="60"/>
      <c r="P48" s="60"/>
      <c r="Q48" s="60"/>
      <c r="R48" s="60"/>
    </row>
    <row r="49" spans="11:18" x14ac:dyDescent="0.25">
      <c r="K49" s="60"/>
      <c r="L49" s="60"/>
      <c r="M49" s="60"/>
      <c r="N49" s="60"/>
      <c r="O49" s="60"/>
      <c r="P49" s="60"/>
      <c r="Q49" s="60"/>
      <c r="R49" s="60"/>
    </row>
    <row r="50" spans="11:18" x14ac:dyDescent="0.25">
      <c r="K50" s="60"/>
      <c r="L50" s="60"/>
      <c r="M50" s="60"/>
      <c r="N50" s="60"/>
      <c r="O50" s="60"/>
      <c r="P50" s="60"/>
      <c r="Q50" s="60"/>
      <c r="R50" s="60"/>
    </row>
    <row r="51" spans="11:18" x14ac:dyDescent="0.25">
      <c r="K51" s="60"/>
      <c r="L51" s="60"/>
      <c r="M51" s="60"/>
      <c r="N51" s="60"/>
      <c r="O51" s="60"/>
      <c r="P51" s="60"/>
      <c r="Q51" s="60"/>
      <c r="R51" s="60"/>
    </row>
    <row r="52" spans="11:18" x14ac:dyDescent="0.25">
      <c r="K52" s="60"/>
      <c r="L52" s="60"/>
      <c r="M52" s="60"/>
      <c r="N52" s="60"/>
      <c r="O52" s="60"/>
      <c r="P52" s="60"/>
      <c r="Q52" s="60"/>
      <c r="R52" s="60"/>
    </row>
    <row r="53" spans="11:18" x14ac:dyDescent="0.25">
      <c r="K53" s="60"/>
      <c r="L53" s="60"/>
      <c r="M53" s="60"/>
      <c r="N53" s="60"/>
      <c r="O53" s="60"/>
      <c r="P53" s="60"/>
      <c r="Q53" s="60"/>
      <c r="R53" s="60"/>
    </row>
    <row r="54" spans="11:18" x14ac:dyDescent="0.25">
      <c r="K54" s="60"/>
      <c r="L54" s="60"/>
      <c r="M54" s="60"/>
      <c r="N54" s="60"/>
      <c r="O54" s="60"/>
      <c r="P54" s="60"/>
      <c r="Q54" s="60"/>
      <c r="R54" s="60"/>
    </row>
    <row r="55" spans="11:18" x14ac:dyDescent="0.25">
      <c r="K55" s="60"/>
      <c r="L55" s="60"/>
      <c r="M55" s="60"/>
      <c r="N55" s="60"/>
      <c r="O55" s="60"/>
      <c r="P55" s="60"/>
      <c r="Q55" s="60"/>
      <c r="R55" s="60"/>
    </row>
    <row r="56" spans="11:18" x14ac:dyDescent="0.25">
      <c r="K56" s="60"/>
      <c r="L56" s="60"/>
      <c r="M56" s="60"/>
      <c r="N56" s="60"/>
      <c r="O56" s="60"/>
      <c r="P56" s="60"/>
      <c r="Q56" s="60"/>
      <c r="R56" s="60"/>
    </row>
    <row r="57" spans="11:18" x14ac:dyDescent="0.25">
      <c r="K57" s="60"/>
      <c r="L57" s="60"/>
      <c r="M57" s="60"/>
      <c r="N57" s="60"/>
      <c r="O57" s="60"/>
      <c r="P57" s="60"/>
      <c r="Q57" s="60"/>
      <c r="R57" s="60"/>
    </row>
    <row r="58" spans="11:18" x14ac:dyDescent="0.25">
      <c r="K58" s="60"/>
      <c r="L58" s="60"/>
      <c r="M58" s="60"/>
      <c r="N58" s="60"/>
      <c r="O58" s="60"/>
      <c r="P58" s="60"/>
      <c r="Q58" s="60"/>
      <c r="R58" s="60"/>
    </row>
    <row r="59" spans="11:18" x14ac:dyDescent="0.25">
      <c r="K59" s="60"/>
      <c r="L59" s="60"/>
      <c r="M59" s="60"/>
      <c r="N59" s="60"/>
      <c r="O59" s="60"/>
      <c r="P59" s="60"/>
      <c r="Q59" s="60"/>
      <c r="R59" s="60"/>
    </row>
    <row r="60" spans="11:18" x14ac:dyDescent="0.25">
      <c r="K60" s="60"/>
      <c r="L60" s="60"/>
      <c r="M60" s="60"/>
      <c r="N60" s="60"/>
      <c r="O60" s="60"/>
      <c r="P60" s="60"/>
      <c r="Q60" s="60"/>
      <c r="R60" s="60"/>
    </row>
    <row r="61" spans="11:18" x14ac:dyDescent="0.25">
      <c r="K61" s="60"/>
      <c r="L61" s="60"/>
      <c r="M61" s="60"/>
      <c r="N61" s="60"/>
      <c r="O61" s="60"/>
      <c r="P61" s="60"/>
      <c r="Q61" s="60"/>
      <c r="R61" s="60"/>
    </row>
    <row r="62" spans="11:18" x14ac:dyDescent="0.25">
      <c r="K62" s="60"/>
      <c r="L62" s="60"/>
      <c r="M62" s="60"/>
      <c r="N62" s="60"/>
      <c r="O62" s="60"/>
      <c r="P62" s="60"/>
      <c r="Q62" s="60"/>
      <c r="R62" s="60"/>
    </row>
    <row r="63" spans="11:18" x14ac:dyDescent="0.25">
      <c r="K63" s="60"/>
      <c r="L63" s="60"/>
      <c r="M63" s="60"/>
      <c r="N63" s="60"/>
      <c r="O63" s="60"/>
      <c r="P63" s="60"/>
      <c r="Q63" s="60"/>
      <c r="R63" s="60"/>
    </row>
    <row r="64" spans="11:18" x14ac:dyDescent="0.25">
      <c r="K64" s="60"/>
      <c r="L64" s="60"/>
      <c r="M64" s="60"/>
      <c r="N64" s="60"/>
      <c r="O64" s="60"/>
      <c r="P64" s="60"/>
      <c r="Q64" s="60"/>
      <c r="R64" s="60"/>
    </row>
    <row r="65" spans="10:18" x14ac:dyDescent="0.25">
      <c r="K65" s="60"/>
      <c r="L65" s="60"/>
      <c r="M65" s="60"/>
      <c r="N65" s="60"/>
      <c r="O65" s="60"/>
      <c r="P65" s="60"/>
      <c r="Q65" s="60"/>
      <c r="R65" s="60"/>
    </row>
    <row r="66" spans="10:18" x14ac:dyDescent="0.25">
      <c r="K66" s="60"/>
      <c r="L66" s="60"/>
      <c r="M66" s="60"/>
      <c r="N66" s="60"/>
      <c r="O66" s="60"/>
      <c r="P66" s="60"/>
      <c r="Q66" s="60"/>
      <c r="R66" s="60"/>
    </row>
    <row r="67" spans="10:18" x14ac:dyDescent="0.25">
      <c r="K67" s="60"/>
      <c r="L67" s="60"/>
      <c r="M67" s="60"/>
      <c r="N67" s="60"/>
      <c r="O67" s="60"/>
      <c r="P67" s="60"/>
      <c r="Q67" s="60"/>
      <c r="R67" s="60"/>
    </row>
    <row r="68" spans="10:18" x14ac:dyDescent="0.25">
      <c r="K68" s="60"/>
      <c r="L68" s="60"/>
      <c r="M68" s="60"/>
      <c r="N68" s="60"/>
      <c r="O68" s="60"/>
      <c r="P68" s="60"/>
      <c r="Q68" s="60"/>
      <c r="R68" s="60"/>
    </row>
    <row r="69" spans="10:18" x14ac:dyDescent="0.25">
      <c r="K69" s="60"/>
      <c r="L69" s="60"/>
      <c r="M69" s="60"/>
      <c r="N69" s="60"/>
      <c r="O69" s="60"/>
      <c r="P69" s="60"/>
      <c r="Q69" s="60"/>
      <c r="R69" s="60"/>
    </row>
    <row r="70" spans="10:18" x14ac:dyDescent="0.25">
      <c r="K70" s="60"/>
      <c r="L70" s="60"/>
      <c r="M70" s="60"/>
      <c r="N70" s="60"/>
      <c r="O70" s="60"/>
      <c r="P70" s="60"/>
      <c r="Q70" s="60"/>
      <c r="R70" s="60"/>
    </row>
    <row r="71" spans="10:18" x14ac:dyDescent="0.25">
      <c r="K71" s="60"/>
      <c r="L71" s="60"/>
      <c r="M71" s="60"/>
      <c r="N71" s="60"/>
      <c r="O71" s="60"/>
      <c r="P71" s="60"/>
      <c r="Q71" s="60"/>
      <c r="R71" s="60"/>
    </row>
    <row r="72" spans="10:18" x14ac:dyDescent="0.25">
      <c r="K72" s="60"/>
      <c r="L72" s="60"/>
      <c r="M72" s="60"/>
      <c r="N72" s="60"/>
      <c r="O72" s="60"/>
      <c r="P72" s="60"/>
      <c r="Q72" s="60"/>
      <c r="R72" s="60"/>
    </row>
    <row r="73" spans="10:18" x14ac:dyDescent="0.25">
      <c r="K73" s="60"/>
      <c r="L73" s="60"/>
      <c r="M73" s="60"/>
      <c r="N73" s="60"/>
      <c r="O73" s="60"/>
      <c r="P73" s="60"/>
      <c r="Q73" s="60"/>
      <c r="R73" s="60"/>
    </row>
    <row r="74" spans="10:18" x14ac:dyDescent="0.25">
      <c r="K74" s="60"/>
      <c r="L74" s="60"/>
      <c r="M74" s="60"/>
      <c r="N74" s="60"/>
      <c r="O74" s="60"/>
      <c r="P74" s="60"/>
      <c r="Q74" s="60"/>
      <c r="R74" s="60"/>
    </row>
    <row r="75" spans="10:18" x14ac:dyDescent="0.25">
      <c r="K75" s="60"/>
      <c r="L75" s="60"/>
      <c r="M75" s="60"/>
      <c r="N75" s="60"/>
      <c r="O75" s="60"/>
      <c r="P75" s="60"/>
      <c r="Q75" s="60"/>
      <c r="R75" s="60"/>
    </row>
    <row r="76" spans="10:18" x14ac:dyDescent="0.25">
      <c r="J76" s="53"/>
    </row>
    <row r="96" spans="10:10" x14ac:dyDescent="0.25">
      <c r="J96" s="53"/>
    </row>
    <row r="97" spans="1:10" x14ac:dyDescent="0.25">
      <c r="J97" s="53"/>
    </row>
    <row r="98" spans="1:10" x14ac:dyDescent="0.25">
      <c r="J98" s="53"/>
    </row>
    <row r="99" spans="1:10" x14ac:dyDescent="0.25">
      <c r="J99" s="53"/>
    </row>
    <row r="100" spans="1:10" x14ac:dyDescent="0.25">
      <c r="J100" s="53"/>
    </row>
    <row r="101" spans="1:10" x14ac:dyDescent="0.25">
      <c r="J101" s="53"/>
    </row>
    <row r="104" spans="1:10" x14ac:dyDescent="0.25">
      <c r="A104" s="48"/>
      <c r="B104" s="31"/>
    </row>
    <row r="105" spans="1:10" x14ac:dyDescent="0.25">
      <c r="A105" s="48"/>
      <c r="B105" s="31"/>
    </row>
    <row r="106" spans="1:10" x14ac:dyDescent="0.25">
      <c r="A106" s="48"/>
      <c r="B106" s="31"/>
    </row>
    <row r="107" spans="1:10" x14ac:dyDescent="0.25">
      <c r="A107" s="48"/>
      <c r="B107" s="31"/>
    </row>
    <row r="108" spans="1:10" x14ac:dyDescent="0.25">
      <c r="A108" s="48"/>
      <c r="B108" s="31"/>
    </row>
    <row r="109" spans="1:10" x14ac:dyDescent="0.25">
      <c r="A109" s="48"/>
      <c r="B109" s="31"/>
    </row>
    <row r="110" spans="1:10" x14ac:dyDescent="0.25">
      <c r="A110" s="48"/>
      <c r="B110" s="31"/>
    </row>
    <row r="111" spans="1:10" x14ac:dyDescent="0.25">
      <c r="A111" s="48"/>
      <c r="B111" s="31"/>
    </row>
    <row r="112" spans="1:10" x14ac:dyDescent="0.25">
      <c r="A112" s="48"/>
      <c r="B112" s="31"/>
    </row>
    <row r="113" spans="1:4" x14ac:dyDescent="0.25">
      <c r="A113" s="48"/>
      <c r="B113" s="31"/>
    </row>
    <row r="114" spans="1:4" x14ac:dyDescent="0.25">
      <c r="A114" s="48"/>
      <c r="B114" s="31"/>
    </row>
    <row r="115" spans="1:4" x14ac:dyDescent="0.25">
      <c r="A115" s="48"/>
      <c r="B115" s="31"/>
    </row>
    <row r="116" spans="1:4" x14ac:dyDescent="0.25">
      <c r="B116" s="32"/>
      <c r="C116" s="33"/>
      <c r="D116" s="33"/>
    </row>
    <row r="117" spans="1:4" x14ac:dyDescent="0.25">
      <c r="A117" s="32"/>
      <c r="B117" s="32"/>
      <c r="C117" s="31"/>
      <c r="D117" s="31"/>
    </row>
  </sheetData>
  <sheetProtection algorithmName="SHA-512" hashValue="HfQsaU0WYOFi2N0eqWOtcZ4YpL6E5RUWwPa+WdPOrE0K7lM5UIzyMThHevrke3OIumE39jcIknHuaNkQAzlDpg==" saltValue="+A1+tcjqAP1UKwVzOML3Og==" spinCount="100000" sheet="1" objects="1" scenarios="1"/>
  <mergeCells count="11">
    <mergeCell ref="B26:C26"/>
    <mergeCell ref="E26:G26"/>
    <mergeCell ref="E6:G6"/>
    <mergeCell ref="A8:B8"/>
    <mergeCell ref="A9:B9"/>
    <mergeCell ref="A20:B20"/>
    <mergeCell ref="A18:B18"/>
    <mergeCell ref="A19:B19"/>
    <mergeCell ref="A16:B16"/>
    <mergeCell ref="A17:B17"/>
    <mergeCell ref="D15:E15"/>
  </mergeCells>
  <conditionalFormatting sqref="C9">
    <cfRule type="expression" dxfId="16" priority="13">
      <formula>IF($C$9&lt;$E$9,1,0)</formula>
    </cfRule>
  </conditionalFormatting>
  <conditionalFormatting sqref="C16:C18">
    <cfRule type="expression" dxfId="15" priority="1">
      <formula>IF($E16&lt;ABS($C16),1,0)</formula>
    </cfRule>
  </conditionalFormatting>
  <pageMargins left="0.25" right="0.25" top="0.75" bottom="0.75" header="0.3" footer="0.3"/>
  <pageSetup fitToHeight="0" orientation="portrait" r:id="rId1"/>
  <rowBreaks count="1" manualBreakCount="1">
    <brk id="23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showGridLines="0" topLeftCell="A46" zoomScaleNormal="100" zoomScaleSheetLayoutView="85" workbookViewId="0">
      <selection activeCell="I7" sqref="I7"/>
    </sheetView>
  </sheetViews>
  <sheetFormatPr baseColWidth="10" defaultColWidth="11.42578125" defaultRowHeight="15" x14ac:dyDescent="0.25"/>
  <cols>
    <col min="1" max="1" width="13.5703125" customWidth="1"/>
    <col min="2" max="2" width="12" customWidth="1"/>
    <col min="3" max="3" width="14.28515625" customWidth="1"/>
    <col min="4" max="4" width="1.7109375" customWidth="1"/>
    <col min="5" max="7" width="14.5703125" customWidth="1"/>
    <col min="8" max="8" width="23" customWidth="1"/>
    <col min="9" max="10" width="14.5703125" customWidth="1"/>
    <col min="11" max="11" width="9.28515625" customWidth="1"/>
  </cols>
  <sheetData>
    <row r="1" spans="1:10" ht="23.25" x14ac:dyDescent="0.35">
      <c r="A1" s="4" t="s">
        <v>116</v>
      </c>
    </row>
    <row r="2" spans="1:10" x14ac:dyDescent="0.25">
      <c r="A2" s="86" t="s">
        <v>215</v>
      </c>
    </row>
    <row r="3" spans="1:10" x14ac:dyDescent="0.25">
      <c r="A3" s="86" t="s">
        <v>193</v>
      </c>
    </row>
    <row r="4" spans="1:10" x14ac:dyDescent="0.25">
      <c r="A4" t="str">
        <f>"Nom de l'usager : "&amp;Identification!B3</f>
        <v xml:space="preserve">Nom de l'usager : </v>
      </c>
    </row>
    <row r="5" spans="1:10" x14ac:dyDescent="0.25">
      <c r="A5" t="str">
        <f>"Date du test : "&amp;YEAR(Identification!B7)&amp;"-"&amp;TEXT(MONTH(Identification!B7),"00")&amp;"-"&amp;TEXT(DAY(Identification!B7),"00")</f>
        <v>Date du test : 1900-01-00</v>
      </c>
    </row>
    <row r="6" spans="1:10" x14ac:dyDescent="0.25">
      <c r="A6" t="str">
        <f>"No. De la séquence de test : "&amp; Identification!B11</f>
        <v xml:space="preserve">No. De la séquence de test : </v>
      </c>
    </row>
    <row r="8" spans="1:10" ht="18.75" x14ac:dyDescent="0.25">
      <c r="A8" s="93" t="s">
        <v>203</v>
      </c>
      <c r="B8" s="34"/>
      <c r="C8" s="31"/>
      <c r="D8" s="31"/>
      <c r="E8" s="53"/>
      <c r="F8" s="53"/>
      <c r="G8" s="53"/>
      <c r="H8" s="53"/>
      <c r="I8" s="47"/>
      <c r="J8" s="32"/>
    </row>
    <row r="9" spans="1:10" s="159" customFormat="1" ht="18.75" x14ac:dyDescent="0.3">
      <c r="A9" s="93" t="s">
        <v>204</v>
      </c>
      <c r="B9" s="155"/>
      <c r="C9" s="156"/>
      <c r="D9" s="156"/>
      <c r="E9" s="157"/>
      <c r="F9" s="157"/>
      <c r="G9" s="157"/>
      <c r="H9" s="157"/>
      <c r="I9" s="93"/>
      <c r="J9" s="158"/>
    </row>
    <row r="10" spans="1:10" x14ac:dyDescent="0.25">
      <c r="B10" s="52"/>
      <c r="C10" s="52"/>
      <c r="D10" s="52"/>
      <c r="E10" s="53"/>
      <c r="F10" s="53"/>
      <c r="G10" s="53"/>
      <c r="H10" s="53"/>
      <c r="I10" s="48"/>
      <c r="J10" s="48"/>
    </row>
    <row r="11" spans="1:10" x14ac:dyDescent="0.25">
      <c r="A11" s="47"/>
      <c r="B11" s="180" t="s">
        <v>91</v>
      </c>
      <c r="C11" s="181"/>
      <c r="D11" s="132"/>
      <c r="E11" s="182" t="s">
        <v>82</v>
      </c>
      <c r="F11" s="183"/>
      <c r="G11" s="184"/>
      <c r="H11" s="104"/>
      <c r="I11" s="104"/>
      <c r="J11" s="104"/>
    </row>
    <row r="12" spans="1:10" ht="30" x14ac:dyDescent="0.25">
      <c r="A12" s="34"/>
      <c r="B12" s="96" t="s">
        <v>86</v>
      </c>
      <c r="C12" s="96" t="s">
        <v>117</v>
      </c>
      <c r="D12" s="130"/>
      <c r="E12" s="88" t="s">
        <v>118</v>
      </c>
      <c r="F12" s="88" t="s">
        <v>84</v>
      </c>
      <c r="G12" s="88" t="s">
        <v>85</v>
      </c>
      <c r="H12" s="48"/>
      <c r="I12" s="110"/>
      <c r="J12" s="48"/>
    </row>
    <row r="13" spans="1:10" x14ac:dyDescent="0.25">
      <c r="A13" s="116" t="s">
        <v>119</v>
      </c>
      <c r="B13" s="113">
        <f>COUNT(Tableau2[Réponse angulaire (degrés)])</f>
        <v>0</v>
      </c>
      <c r="C13" s="114" t="str">
        <f>IFERROR(SUM(Tableau2[Réussite])/'Analyse supplémentaire'!B13,"")</f>
        <v/>
      </c>
      <c r="D13" s="146"/>
      <c r="E13" s="115">
        <v>0.85899999999999999</v>
      </c>
      <c r="F13" s="115">
        <v>0.498</v>
      </c>
      <c r="G13" s="115">
        <v>0.95499999999999996</v>
      </c>
      <c r="H13" s="48"/>
      <c r="I13" s="110"/>
      <c r="J13" s="48"/>
    </row>
    <row r="14" spans="1:10" ht="30" x14ac:dyDescent="0.25">
      <c r="A14" s="45" t="s">
        <v>120</v>
      </c>
      <c r="B14" s="97">
        <f>SUM(Analyse!B28:B30,Analyse!B34:B35)</f>
        <v>0</v>
      </c>
      <c r="C14" s="95" t="str">
        <f>IFERROR((B14-SUM(Analyse!C28:C30,Analyse!C34:C35))/B14,"")</f>
        <v/>
      </c>
      <c r="D14" s="133"/>
      <c r="E14" s="105">
        <v>0.85</v>
      </c>
      <c r="F14" s="105">
        <v>0.499</v>
      </c>
      <c r="G14" s="105">
        <v>0.97799999999999998</v>
      </c>
      <c r="I14" s="110"/>
      <c r="J14" s="110"/>
    </row>
    <row r="15" spans="1:10" ht="30" x14ac:dyDescent="0.25">
      <c r="A15" s="45" t="s">
        <v>121</v>
      </c>
      <c r="B15" s="97">
        <f>SUM(Analyse!B28:B32)</f>
        <v>0</v>
      </c>
      <c r="C15" s="95" t="str">
        <f>IFERROR((B15-SUM(Analyse!C28:C32))/B15,"")</f>
        <v/>
      </c>
      <c r="D15" s="133"/>
      <c r="E15" s="105">
        <v>0.85</v>
      </c>
      <c r="F15" s="105">
        <v>0.56799999999999995</v>
      </c>
      <c r="G15" s="105">
        <v>0.97799999999999998</v>
      </c>
      <c r="H15" s="110"/>
      <c r="I15" s="110"/>
      <c r="J15" s="110"/>
    </row>
    <row r="16" spans="1:10" ht="30" x14ac:dyDescent="0.25">
      <c r="A16" s="45" t="s">
        <v>122</v>
      </c>
      <c r="B16" s="97">
        <f>SUM(Analyse!B32:B35,Analyse!B28)</f>
        <v>0</v>
      </c>
      <c r="C16" s="95" t="str">
        <f>IFERROR((B16-SUM(Analyse!C32:C35,Analyse!C28))/B16,"")</f>
        <v/>
      </c>
      <c r="D16" s="133"/>
      <c r="E16" s="105">
        <v>0.82299999999999995</v>
      </c>
      <c r="F16" s="105">
        <v>0.498</v>
      </c>
      <c r="G16" s="105">
        <v>0.95299999999999996</v>
      </c>
      <c r="H16" s="110"/>
      <c r="I16" s="110"/>
      <c r="J16" s="110"/>
    </row>
    <row r="17" spans="1:14" ht="30" x14ac:dyDescent="0.25">
      <c r="A17" s="45" t="s">
        <v>123</v>
      </c>
      <c r="B17" s="97">
        <f>SUM(Analyse!B30:B34)</f>
        <v>0</v>
      </c>
      <c r="C17" s="95" t="str">
        <f>IFERROR((B17-SUM(Analyse!C30:C34))/B17,"")</f>
        <v/>
      </c>
      <c r="D17" s="133"/>
      <c r="E17" s="105">
        <v>0.85</v>
      </c>
      <c r="F17" s="105">
        <v>0.49299999999999999</v>
      </c>
      <c r="G17" s="105">
        <v>0.92800000000000005</v>
      </c>
      <c r="H17" s="110"/>
      <c r="I17" s="110"/>
      <c r="J17" s="110"/>
    </row>
    <row r="18" spans="1:14" x14ac:dyDescent="0.25">
      <c r="A18" s="52"/>
      <c r="B18" s="122"/>
      <c r="C18" s="123"/>
      <c r="D18" s="123"/>
      <c r="E18" s="124"/>
      <c r="F18" s="124"/>
      <c r="G18" s="124"/>
      <c r="H18" s="110"/>
      <c r="I18" s="110"/>
      <c r="J18" s="110"/>
    </row>
    <row r="19" spans="1:14" x14ac:dyDescent="0.25">
      <c r="A19" s="52"/>
      <c r="B19" s="122"/>
      <c r="C19" s="123"/>
      <c r="D19" s="123"/>
      <c r="E19" s="124"/>
      <c r="F19" s="124"/>
      <c r="G19" s="124"/>
      <c r="H19" s="110"/>
      <c r="I19" s="110"/>
      <c r="J19" s="110"/>
    </row>
    <row r="22" spans="1:14" s="159" customFormat="1" ht="18.75" x14ac:dyDescent="0.3">
      <c r="A22" s="93" t="s">
        <v>205</v>
      </c>
      <c r="B22" s="155"/>
      <c r="C22" s="156"/>
      <c r="D22" s="156"/>
      <c r="E22" s="157"/>
      <c r="F22" s="157"/>
      <c r="G22" s="157"/>
      <c r="H22" s="157"/>
      <c r="I22" s="93"/>
      <c r="J22" s="158"/>
    </row>
    <row r="23" spans="1:14" x14ac:dyDescent="0.25">
      <c r="A23" s="47"/>
      <c r="B23" s="34"/>
      <c r="C23" s="31"/>
      <c r="D23" s="31"/>
      <c r="E23" s="53"/>
      <c r="F23" s="53"/>
      <c r="G23" s="53"/>
      <c r="H23" s="53"/>
      <c r="I23" s="47"/>
      <c r="J23" s="32"/>
    </row>
    <row r="24" spans="1:14" x14ac:dyDescent="0.25">
      <c r="A24" s="47"/>
      <c r="B24" s="167" t="s">
        <v>91</v>
      </c>
      <c r="C24" s="168"/>
      <c r="D24" s="132"/>
      <c r="E24" s="169" t="s">
        <v>213</v>
      </c>
      <c r="F24" s="170"/>
      <c r="G24" s="171"/>
      <c r="H24" s="104"/>
      <c r="I24" s="104"/>
      <c r="J24" s="31"/>
    </row>
    <row r="25" spans="1:14" ht="30" x14ac:dyDescent="0.25">
      <c r="A25" s="34"/>
      <c r="B25" s="96" t="s">
        <v>86</v>
      </c>
      <c r="C25" s="151" t="s">
        <v>96</v>
      </c>
      <c r="D25" s="130"/>
      <c r="E25" s="88" t="s">
        <v>97</v>
      </c>
      <c r="F25" s="88" t="s">
        <v>98</v>
      </c>
      <c r="G25" s="88" t="s">
        <v>99</v>
      </c>
      <c r="J25" s="52"/>
    </row>
    <row r="26" spans="1:14" ht="30" x14ac:dyDescent="0.25">
      <c r="A26" s="45" t="s">
        <v>120</v>
      </c>
      <c r="B26" s="97">
        <f>SUM(Analyse!B28:B30,Analyse!B34:B35)</f>
        <v>0</v>
      </c>
      <c r="C26" s="153">
        <f>SUM(Analyse!C28:C30,Analyse!C34:C35)</f>
        <v>0</v>
      </c>
      <c r="D26" s="134"/>
      <c r="E26" s="17">
        <f>SUM(Analyse!E28:E30,Analyse!E34:E35)</f>
        <v>0</v>
      </c>
      <c r="F26" s="17">
        <f>SUM(Analyse!F28:F30,Analyse!F34:F35)</f>
        <v>0</v>
      </c>
      <c r="G26" s="17">
        <f>SUM(Analyse!G28:G30,Analyse!G34:G35)</f>
        <v>0</v>
      </c>
      <c r="J26" s="31"/>
      <c r="M26" s="107"/>
      <c r="N26" s="107"/>
    </row>
    <row r="27" spans="1:14" ht="30" x14ac:dyDescent="0.25">
      <c r="A27" s="45" t="s">
        <v>121</v>
      </c>
      <c r="B27" s="97">
        <f>SUM(Analyse!B28:B32)</f>
        <v>0</v>
      </c>
      <c r="C27" s="153">
        <f>SUM(Analyse!C28:C32)</f>
        <v>0</v>
      </c>
      <c r="D27" s="134"/>
      <c r="E27" s="17">
        <f>SUM(Analyse!E28:E32)</f>
        <v>0</v>
      </c>
      <c r="F27" s="17">
        <f>SUM(Analyse!F28:F32)</f>
        <v>0</v>
      </c>
      <c r="G27" s="17">
        <f>SUM(Analyse!G28:G32)</f>
        <v>0</v>
      </c>
      <c r="J27" s="31"/>
    </row>
    <row r="28" spans="1:14" ht="30" x14ac:dyDescent="0.25">
      <c r="A28" s="45" t="s">
        <v>122</v>
      </c>
      <c r="B28" s="97">
        <f>SUM(Analyse!B32:B35,Analyse!B28)</f>
        <v>0</v>
      </c>
      <c r="C28" s="153">
        <f>SUM(Analyse!C32:C35,Analyse!C28)</f>
        <v>0</v>
      </c>
      <c r="D28" s="134"/>
      <c r="E28" s="17">
        <f>SUM(Analyse!E32:E35,Analyse!E28)</f>
        <v>0</v>
      </c>
      <c r="F28" s="17">
        <f>SUM(Analyse!F32:F35,Analyse!F28)</f>
        <v>0</v>
      </c>
      <c r="G28" s="17">
        <f>SUM(Analyse!G32:G35,Analyse!G28)</f>
        <v>0</v>
      </c>
      <c r="J28" s="31"/>
    </row>
    <row r="29" spans="1:14" ht="30" x14ac:dyDescent="0.25">
      <c r="A29" s="45" t="s">
        <v>123</v>
      </c>
      <c r="B29" s="97">
        <f>SUM(Analyse!B30:B34)</f>
        <v>0</v>
      </c>
      <c r="C29" s="153">
        <f>SUM(Analyse!C30:C34)</f>
        <v>0</v>
      </c>
      <c r="D29" s="134"/>
      <c r="E29" s="17">
        <f>SUM(Analyse!E30:E34)</f>
        <v>0</v>
      </c>
      <c r="F29" s="17">
        <f>SUM(Analyse!F30:F34)</f>
        <v>0</v>
      </c>
      <c r="G29" s="17">
        <f>SUM(Analyse!G30:G34)</f>
        <v>0</v>
      </c>
      <c r="J29" s="31"/>
    </row>
    <row r="30" spans="1:14" x14ac:dyDescent="0.25">
      <c r="A30" s="129" t="s">
        <v>216</v>
      </c>
      <c r="B30" s="34"/>
      <c r="C30" s="102"/>
      <c r="D30" s="102"/>
      <c r="E30" s="91"/>
    </row>
    <row r="32" spans="1:14" ht="18.75" x14ac:dyDescent="0.25">
      <c r="A32" s="94" t="s">
        <v>206</v>
      </c>
      <c r="B32" s="31"/>
      <c r="C32" s="53"/>
      <c r="D32" s="53"/>
      <c r="E32" s="53"/>
      <c r="F32" s="53"/>
      <c r="G32" s="53"/>
      <c r="H32" s="53"/>
      <c r="I32" s="53"/>
    </row>
    <row r="33" spans="1:10" ht="18.75" x14ac:dyDescent="0.25">
      <c r="A33" s="94" t="s">
        <v>117</v>
      </c>
    </row>
    <row r="34" spans="1:10" x14ac:dyDescent="0.25">
      <c r="A34" s="86"/>
    </row>
    <row r="35" spans="1:10" x14ac:dyDescent="0.25">
      <c r="A35" s="86"/>
      <c r="B35" s="180" t="s">
        <v>91</v>
      </c>
      <c r="C35" s="181"/>
      <c r="D35" s="132"/>
      <c r="E35" s="182" t="s">
        <v>82</v>
      </c>
      <c r="F35" s="183"/>
      <c r="G35" s="184"/>
      <c r="H35" s="111"/>
      <c r="I35" s="104"/>
      <c r="J35" s="104"/>
    </row>
    <row r="36" spans="1:10" ht="30" x14ac:dyDescent="0.25">
      <c r="B36" s="96" t="s">
        <v>86</v>
      </c>
      <c r="C36" s="96" t="s">
        <v>124</v>
      </c>
      <c r="D36" s="130"/>
      <c r="E36" s="88" t="s">
        <v>118</v>
      </c>
      <c r="F36" s="88" t="s">
        <v>84</v>
      </c>
      <c r="G36" s="88" t="s">
        <v>85</v>
      </c>
      <c r="H36" s="48"/>
      <c r="J36" s="48"/>
    </row>
    <row r="37" spans="1:10" x14ac:dyDescent="0.25">
      <c r="A37" s="112" t="s">
        <v>125</v>
      </c>
      <c r="B37" s="113">
        <f>COUNT(Tableau2[Réponse angulaire (degrés)])</f>
        <v>0</v>
      </c>
      <c r="C37" s="114" t="str">
        <f>IFERROR(SUM(Tableau2[Réussite])/B37,"")</f>
        <v/>
      </c>
      <c r="D37" s="146"/>
      <c r="E37" s="115">
        <v>0.85899999999999999</v>
      </c>
      <c r="F37" s="115">
        <v>0.498</v>
      </c>
      <c r="G37" s="115">
        <v>0.95499999999999996</v>
      </c>
      <c r="H37" s="48"/>
      <c r="J37" s="48"/>
    </row>
    <row r="38" spans="1:10" x14ac:dyDescent="0.25">
      <c r="A38" s="50">
        <v>65</v>
      </c>
      <c r="B38" s="17">
        <f>COUNTIFS(Tableau2[*Intensité],'Analyse supplémentaire'!A38,Tableau2[No. Du laser (N,E, S,O)],"&lt;&gt;")</f>
        <v>0</v>
      </c>
      <c r="C38" s="95" t="str">
        <f>IFERROR(SUMIFS(Tableau2[Réussite],Tableau2[*Intensité],'Analyse supplémentaire'!A38)/B38,"")</f>
        <v/>
      </c>
      <c r="D38" s="133"/>
      <c r="E38" s="117">
        <v>0.85899999999999999</v>
      </c>
      <c r="F38" s="117">
        <v>0.46899999999999997</v>
      </c>
      <c r="G38" s="117">
        <v>0.96899999999999997</v>
      </c>
      <c r="H38" s="48"/>
      <c r="J38" s="48"/>
    </row>
    <row r="39" spans="1:10" x14ac:dyDescent="0.25">
      <c r="A39" s="50">
        <v>50</v>
      </c>
      <c r="B39" s="17">
        <f>COUNTIFS(Tableau2[*Intensité],'Analyse supplémentaire'!A39,Tableau2[No. Du laser (N,E, S,O)],"&lt;&gt;")</f>
        <v>0</v>
      </c>
      <c r="C39" s="95" t="str">
        <f>IFERROR(SUMIFS(Tableau2[Réussite],Tableau2[*Intensité],'Analyse supplémentaire'!A39)/B39,"")</f>
        <v/>
      </c>
      <c r="D39" s="133"/>
      <c r="E39" s="95">
        <v>0.81299999999999994</v>
      </c>
      <c r="F39" s="118">
        <v>0.53</v>
      </c>
      <c r="G39" s="95">
        <v>0.96899999999999997</v>
      </c>
      <c r="H39" s="91"/>
      <c r="J39" s="91"/>
    </row>
    <row r="40" spans="1:10" x14ac:dyDescent="0.25">
      <c r="H40" s="91"/>
      <c r="J40" s="91"/>
    </row>
    <row r="41" spans="1:10" x14ac:dyDescent="0.25">
      <c r="H41" s="91"/>
      <c r="J41" s="91"/>
    </row>
    <row r="42" spans="1:10" x14ac:dyDescent="0.25">
      <c r="A42" s="52"/>
      <c r="B42" s="31"/>
      <c r="C42" s="53"/>
      <c r="D42" s="53"/>
      <c r="E42" s="53"/>
      <c r="F42" s="53"/>
      <c r="G42" s="53"/>
      <c r="H42" s="53"/>
      <c r="I42" s="53"/>
    </row>
    <row r="43" spans="1:10" x14ac:dyDescent="0.25">
      <c r="A43" s="52"/>
      <c r="B43" s="31"/>
      <c r="C43" s="53"/>
      <c r="D43" s="53"/>
      <c r="E43" s="53"/>
      <c r="F43" s="53"/>
      <c r="G43" s="53"/>
      <c r="H43" s="53"/>
      <c r="I43" s="53"/>
    </row>
    <row r="44" spans="1:10" ht="18.75" x14ac:dyDescent="0.25">
      <c r="A44" s="94" t="s">
        <v>205</v>
      </c>
    </row>
    <row r="45" spans="1:10" s="125" customFormat="1" ht="15.75" x14ac:dyDescent="0.25">
      <c r="A45" s="138"/>
    </row>
    <row r="46" spans="1:10" x14ac:dyDescent="0.25">
      <c r="A46" s="86"/>
      <c r="B46" s="167" t="s">
        <v>91</v>
      </c>
      <c r="C46" s="168"/>
      <c r="D46" s="135"/>
      <c r="E46" s="169" t="s">
        <v>92</v>
      </c>
      <c r="F46" s="170"/>
      <c r="G46" s="171"/>
      <c r="H46" s="104"/>
      <c r="I46" s="104"/>
    </row>
    <row r="47" spans="1:10" ht="30" x14ac:dyDescent="0.25">
      <c r="B47" s="96" t="s">
        <v>86</v>
      </c>
      <c r="C47" s="151" t="s">
        <v>202</v>
      </c>
      <c r="D47" s="130"/>
      <c r="E47" s="96" t="s">
        <v>97</v>
      </c>
      <c r="F47" s="96" t="s">
        <v>98</v>
      </c>
      <c r="G47" s="96" t="s">
        <v>99</v>
      </c>
      <c r="J47" s="106"/>
    </row>
    <row r="48" spans="1:10" x14ac:dyDescent="0.25">
      <c r="A48" s="50">
        <v>65</v>
      </c>
      <c r="B48" s="17">
        <f>COUNTIFS(Tableau2[*Intensité],'Analyse supplémentaire'!A48,Tableau2[No. Du laser (N,E, S,O)],"&lt;&gt;")</f>
        <v>0</v>
      </c>
      <c r="C48" s="154">
        <f>SUM(E48:G48)</f>
        <v>0</v>
      </c>
      <c r="D48" s="136"/>
      <c r="E48" s="17">
        <f>SUMIFS(Tableau2[Erreur - Conf Av/Arr],Tableau2[*Intensité],'Analyse supplémentaire'!A48)</f>
        <v>0</v>
      </c>
      <c r="F48" s="17">
        <f>SUMIFS(Tableau2[Erreur - Conf G/D],Tableau2[*Intensité],'Analyse supplémentaire'!A48)</f>
        <v>0</v>
      </c>
      <c r="G48" s="17">
        <f>SUMIFS(Tableau2[Erreur intra-quadrant],Tableau2[*Intensité],'Analyse supplémentaire'!A48)</f>
        <v>0</v>
      </c>
    </row>
    <row r="49" spans="1:9" x14ac:dyDescent="0.25">
      <c r="A49" s="50">
        <v>50</v>
      </c>
      <c r="B49" s="17">
        <f>COUNTIFS(Tableau2[*Intensité],'Analyse supplémentaire'!A49,Tableau2[No. Du laser (N,E, S,O)],"&lt;&gt;")</f>
        <v>0</v>
      </c>
      <c r="C49" s="154">
        <f>SUM(E49:G49)</f>
        <v>0</v>
      </c>
      <c r="D49" s="136"/>
      <c r="E49" s="17">
        <f>SUMIFS(Tableau2[Erreur - Conf Av/Arr],Tableau2[*Intensité],'Analyse supplémentaire'!A49)</f>
        <v>0</v>
      </c>
      <c r="F49" s="17">
        <f>SUMIFS(Tableau2[Erreur - Conf G/D],Tableau2[*Intensité],'Analyse supplémentaire'!A49)</f>
        <v>0</v>
      </c>
      <c r="G49" s="17">
        <f>SUMIFS(Tableau2[Erreur intra-quadrant],Tableau2[*Intensité],'Analyse supplémentaire'!A49)</f>
        <v>0</v>
      </c>
    </row>
    <row r="50" spans="1:9" x14ac:dyDescent="0.25">
      <c r="A50" s="52"/>
      <c r="B50" s="91"/>
      <c r="C50" s="91"/>
      <c r="D50" s="91"/>
      <c r="E50" s="91"/>
      <c r="F50" s="91"/>
      <c r="G50" s="91"/>
      <c r="H50" s="91"/>
      <c r="I50" s="91"/>
    </row>
    <row r="51" spans="1:9" x14ac:dyDescent="0.25">
      <c r="A51" s="52"/>
      <c r="B51" s="91"/>
      <c r="C51" s="91"/>
      <c r="D51" s="91"/>
      <c r="E51" s="91"/>
      <c r="F51" s="91"/>
      <c r="G51" s="91"/>
      <c r="H51" s="91"/>
      <c r="I51" s="91"/>
    </row>
    <row r="52" spans="1:9" ht="18.75" x14ac:dyDescent="0.25">
      <c r="A52" s="94" t="s">
        <v>214</v>
      </c>
      <c r="I52" s="91"/>
    </row>
    <row r="53" spans="1:9" ht="18.75" x14ac:dyDescent="0.25">
      <c r="A53" s="94" t="s">
        <v>117</v>
      </c>
      <c r="I53" s="91"/>
    </row>
    <row r="54" spans="1:9" s="125" customFormat="1" ht="15.75" x14ac:dyDescent="0.25">
      <c r="A54" s="138"/>
      <c r="H54" s="147"/>
      <c r="I54" s="147"/>
    </row>
    <row r="55" spans="1:9" x14ac:dyDescent="0.25">
      <c r="A55" s="86"/>
      <c r="B55" s="180" t="s">
        <v>91</v>
      </c>
      <c r="C55" s="181"/>
      <c r="D55" s="132"/>
      <c r="E55" s="182" t="s">
        <v>82</v>
      </c>
      <c r="F55" s="183"/>
      <c r="G55" s="184"/>
      <c r="H55" s="91"/>
      <c r="I55" s="91"/>
    </row>
    <row r="56" spans="1:9" ht="30" x14ac:dyDescent="0.25">
      <c r="B56" s="96" t="s">
        <v>86</v>
      </c>
      <c r="C56" s="96" t="s">
        <v>124</v>
      </c>
      <c r="D56" s="130"/>
      <c r="E56" s="88" t="s">
        <v>118</v>
      </c>
      <c r="F56" s="88" t="s">
        <v>84</v>
      </c>
      <c r="G56" s="88" t="s">
        <v>85</v>
      </c>
      <c r="H56" s="91"/>
      <c r="I56" s="91"/>
    </row>
    <row r="57" spans="1:9" x14ac:dyDescent="0.25">
      <c r="A57" s="112" t="s">
        <v>125</v>
      </c>
      <c r="B57" s="113">
        <f>COUNT(Tableau2[Réponse angulaire (degrés)])</f>
        <v>0</v>
      </c>
      <c r="C57" s="165" t="str">
        <f>IFERROR(SUM(Tableau2[Réussite])/B57,"")</f>
        <v/>
      </c>
      <c r="D57" s="146"/>
      <c r="E57" s="115">
        <v>0.85899999999999999</v>
      </c>
      <c r="F57" s="115">
        <v>0.498</v>
      </c>
      <c r="G57" s="115">
        <v>0.95499999999999996</v>
      </c>
      <c r="H57" s="91"/>
      <c r="I57" s="91"/>
    </row>
    <row r="58" spans="1:9" x14ac:dyDescent="0.25">
      <c r="A58" s="50" t="s">
        <v>127</v>
      </c>
      <c r="B58" s="17">
        <f>COUNTIFS(Tableau2[*Pavé],'Analyse supplémentaire'!A58,Tableau2[No. Du laser (N,E, S,O)],"&lt;&gt;")</f>
        <v>0</v>
      </c>
      <c r="C58" s="95" t="str">
        <f>IFERROR(SUMIFS(Tableau2[Réussite],Tableau2[*Pavé],'Analyse supplémentaire'!A58)/B58,"")</f>
        <v/>
      </c>
      <c r="D58" s="133"/>
      <c r="E58" s="117">
        <v>0.81299999999999994</v>
      </c>
      <c r="F58" s="117">
        <v>0.52600000000000002</v>
      </c>
      <c r="G58" s="117">
        <v>0.94099999999999995</v>
      </c>
      <c r="H58" s="91"/>
      <c r="I58" s="91"/>
    </row>
    <row r="59" spans="1:9" x14ac:dyDescent="0.25">
      <c r="A59" s="50" t="s">
        <v>128</v>
      </c>
      <c r="B59" s="17">
        <f>COUNTIFS(Tableau2[*Pavé],'Analyse supplémentaire'!A59,Tableau2[No. Du laser (N,E, S,O)],"&lt;&gt;")</f>
        <v>0</v>
      </c>
      <c r="C59" s="95" t="str">
        <f>IFERROR(SUMIFS(Tableau2[Réussite],Tableau2[*Pavé],'Analyse supplémentaire'!A59)/B59,"")</f>
        <v/>
      </c>
      <c r="D59" s="133"/>
      <c r="E59" s="95">
        <v>0.89300000000000002</v>
      </c>
      <c r="F59" s="118">
        <v>0.52500000000000002</v>
      </c>
      <c r="G59" s="95">
        <v>0.96899999999999997</v>
      </c>
      <c r="H59" s="91"/>
      <c r="I59" s="91"/>
    </row>
    <row r="60" spans="1:9" x14ac:dyDescent="0.25">
      <c r="H60" s="91"/>
      <c r="I60" s="91"/>
    </row>
    <row r="61" spans="1:9" x14ac:dyDescent="0.25">
      <c r="H61" s="91"/>
      <c r="I61" s="91"/>
    </row>
    <row r="62" spans="1:9" x14ac:dyDescent="0.25">
      <c r="A62" s="52"/>
      <c r="B62" s="31"/>
      <c r="C62" s="53"/>
      <c r="D62" s="53"/>
      <c r="E62" s="53"/>
      <c r="F62" s="53"/>
      <c r="G62" s="53"/>
      <c r="H62" s="91"/>
      <c r="I62" s="91"/>
    </row>
    <row r="63" spans="1:9" x14ac:dyDescent="0.25">
      <c r="A63" s="52"/>
      <c r="B63" s="31"/>
      <c r="C63" s="53"/>
      <c r="D63" s="53"/>
      <c r="E63" s="53"/>
      <c r="F63" s="53"/>
      <c r="G63" s="53"/>
      <c r="H63" s="91"/>
      <c r="I63" s="91"/>
    </row>
    <row r="64" spans="1:9" ht="18.75" x14ac:dyDescent="0.25">
      <c r="A64" s="94" t="s">
        <v>205</v>
      </c>
      <c r="H64" s="91"/>
      <c r="I64" s="91"/>
    </row>
    <row r="65" spans="1:7" s="125" customFormat="1" ht="15.75" x14ac:dyDescent="0.25">
      <c r="A65" s="138"/>
    </row>
    <row r="66" spans="1:7" x14ac:dyDescent="0.25">
      <c r="A66" s="86"/>
      <c r="B66" s="167" t="s">
        <v>91</v>
      </c>
      <c r="C66" s="168"/>
      <c r="D66" s="135"/>
      <c r="E66" s="169" t="s">
        <v>92</v>
      </c>
      <c r="F66" s="170"/>
      <c r="G66" s="171"/>
    </row>
    <row r="67" spans="1:7" ht="30" x14ac:dyDescent="0.25">
      <c r="B67" s="96" t="s">
        <v>86</v>
      </c>
      <c r="C67" s="151" t="s">
        <v>126</v>
      </c>
      <c r="D67" s="130"/>
      <c r="E67" s="96" t="s">
        <v>97</v>
      </c>
      <c r="F67" s="96" t="s">
        <v>98</v>
      </c>
      <c r="G67" s="96" t="s">
        <v>99</v>
      </c>
    </row>
    <row r="68" spans="1:7" x14ac:dyDescent="0.25">
      <c r="A68" s="50" t="s">
        <v>127</v>
      </c>
      <c r="B68" s="17">
        <f>COUNTIFS(Tableau2[*Pavé],'Analyse supplémentaire'!A68,Tableau2[No. Du laser (N,E, S,O)],"&lt;&gt;")</f>
        <v>0</v>
      </c>
      <c r="C68" s="152">
        <f>SUM(E68:G68)</f>
        <v>0</v>
      </c>
      <c r="D68" s="137"/>
      <c r="E68" s="17">
        <f>SUMIFS(Tableau2[Erreur - Conf Av/Arr],Tableau2[*Pavé],'Analyse supplémentaire'!A68)</f>
        <v>0</v>
      </c>
      <c r="F68" s="17">
        <f>SUMIFS(Tableau2[Erreur - Conf G/D],Tableau2[*Pavé],'Analyse supplémentaire'!A68)</f>
        <v>0</v>
      </c>
      <c r="G68" s="17">
        <f>SUMIFS(Tableau2[Erreur intra-quadrant],Tableau2[*Pavé],'Analyse supplémentaire'!A68)</f>
        <v>0</v>
      </c>
    </row>
    <row r="69" spans="1:7" x14ac:dyDescent="0.25">
      <c r="A69" s="50" t="s">
        <v>128</v>
      </c>
      <c r="B69" s="17">
        <f>COUNTIFS(Tableau2[*Pavé],'Analyse supplémentaire'!A69,Tableau2[No. Du laser (N,E, S,O)],"&lt;&gt;")</f>
        <v>0</v>
      </c>
      <c r="C69" s="152">
        <f>SUM(E69:G69)</f>
        <v>0</v>
      </c>
      <c r="D69" s="137"/>
      <c r="E69" s="17">
        <f>SUMIFS(Tableau2[Erreur - Conf Av/Arr],Tableau2[*Pavé],'Analyse supplémentaire'!A69)</f>
        <v>0</v>
      </c>
      <c r="F69" s="17">
        <f>SUMIFS(Tableau2[Erreur - Conf G/D],Tableau2[*Pavé],'Analyse supplémentaire'!A69)</f>
        <v>0</v>
      </c>
      <c r="G69" s="17">
        <f>SUMIFS(Tableau2[Erreur intra-quadrant],Tableau2[*Pavé],'Analyse supplémentaire'!A69)</f>
        <v>0</v>
      </c>
    </row>
  </sheetData>
  <sheetProtection algorithmName="SHA-512" hashValue="3yxsVXAPAv9miM0YYZ1mIZmphZZWR9i7nWD5E3FiSQzNySVTGgaChtEVcCscZZjbg263pFU3Zd7vf/eH4vaGZw==" saltValue="J3GMDQuSbk2o4hQiHDJJUQ==" spinCount="100000" sheet="1" objects="1" scenarios="1"/>
  <mergeCells count="12">
    <mergeCell ref="E11:G11"/>
    <mergeCell ref="B11:C11"/>
    <mergeCell ref="B24:C24"/>
    <mergeCell ref="E24:G24"/>
    <mergeCell ref="B46:C46"/>
    <mergeCell ref="E46:G46"/>
    <mergeCell ref="B66:C66"/>
    <mergeCell ref="E66:G66"/>
    <mergeCell ref="B55:C55"/>
    <mergeCell ref="E55:G55"/>
    <mergeCell ref="E35:G35"/>
    <mergeCell ref="B35:C35"/>
  </mergeCells>
  <conditionalFormatting sqref="C13:C17">
    <cfRule type="expression" dxfId="14" priority="3">
      <formula>IF($C13&lt;$E13,1,0)</formula>
    </cfRule>
  </conditionalFormatting>
  <conditionalFormatting sqref="C37:C39">
    <cfRule type="expression" dxfId="13" priority="2">
      <formula>IF($C37&lt;$E37,1,0)</formula>
    </cfRule>
  </conditionalFormatting>
  <conditionalFormatting sqref="C57:C59">
    <cfRule type="expression" dxfId="12" priority="1">
      <formula>IF($C57&lt;$E57,1,0)</formula>
    </cfRule>
  </conditionalFormatting>
  <pageMargins left="0.25" right="0.25" top="0.75" bottom="0.75" header="0.3" footer="0.3"/>
  <pageSetup fitToHeight="0" orientation="portrait" r:id="rId1"/>
  <rowBreaks count="1" manualBreakCount="1">
    <brk id="32" max="5" man="1"/>
  </rowBreaks>
  <ignoredErrors>
    <ignoredError sqref="F48:F49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30" zoomScaleNormal="130" zoomScaleSheetLayoutView="100" workbookViewId="0">
      <selection activeCell="A7" sqref="A7:C7"/>
    </sheetView>
  </sheetViews>
  <sheetFormatPr baseColWidth="10" defaultColWidth="11.42578125" defaultRowHeight="15" x14ac:dyDescent="0.25"/>
  <cols>
    <col min="1" max="1" width="3" customWidth="1"/>
    <col min="4" max="4" width="3.5703125" customWidth="1"/>
    <col min="6" max="6" width="4" customWidth="1"/>
    <col min="9" max="9" width="6.7109375" customWidth="1"/>
    <col min="10" max="10" width="39.7109375" hidden="1" customWidth="1"/>
  </cols>
  <sheetData>
    <row r="1" spans="1:10" ht="18.75" x14ac:dyDescent="0.3">
      <c r="A1" s="36" t="s">
        <v>129</v>
      </c>
    </row>
    <row r="2" spans="1:10" x14ac:dyDescent="0.25">
      <c r="A2" t="str">
        <f>"Nom de l'usager : "&amp;Identification!B3</f>
        <v xml:space="preserve">Nom de l'usager : </v>
      </c>
    </row>
    <row r="3" spans="1:10" x14ac:dyDescent="0.25">
      <c r="A3" t="str">
        <f>"Date du test : "&amp;YEAR(Identification!B7)&amp;"-"&amp;TEXT(MONTH(Identification!B7),"00")&amp;"-"&amp;TEXT(DAY(Identification!B7),"00")</f>
        <v>Date du test : 1900-01-00</v>
      </c>
    </row>
    <row r="4" spans="1:10" x14ac:dyDescent="0.25">
      <c r="A4" t="str">
        <f>"No. De la séquence de test : "&amp; Identification!B11</f>
        <v xml:space="preserve">No. De la séquence de test : </v>
      </c>
    </row>
    <row r="6" spans="1:10" ht="15.75" thickBot="1" x14ac:dyDescent="0.3">
      <c r="A6" s="16" t="s">
        <v>130</v>
      </c>
    </row>
    <row r="7" spans="1:10" ht="15.75" thickBot="1" x14ac:dyDescent="0.3">
      <c r="A7" s="185" t="s">
        <v>96</v>
      </c>
      <c r="B7" s="186"/>
      <c r="C7" s="187"/>
      <c r="D7" s="98"/>
      <c r="E7" s="98"/>
      <c r="F7" s="98"/>
      <c r="G7" s="98"/>
      <c r="H7" s="98"/>
    </row>
    <row r="8" spans="1:10" x14ac:dyDescent="0.25">
      <c r="A8" s="98"/>
      <c r="B8" s="98"/>
    </row>
    <row r="9" spans="1:10" x14ac:dyDescent="0.25">
      <c r="E9" s="45" t="s">
        <v>108</v>
      </c>
      <c r="J9" s="92" t="s">
        <v>96</v>
      </c>
    </row>
    <row r="10" spans="1:10" x14ac:dyDescent="0.25">
      <c r="B10" s="53"/>
      <c r="C10" s="53"/>
      <c r="D10" s="53"/>
      <c r="E10" s="12" t="str">
        <f>IFERROR(INDEX(Analyse!$C$28:$S$35,MATCH('Graphique d''analyse'!E9,Analyse!$A$28:$A$35,0),MATCH('Graphique d''analyse'!$A$7,Analyse!$C$27:$S$27,0))*(IF(LEFT(A7,1)="%",100,1))&amp;(IF(LEFT(A7,1)="%","%"," Err.")),"")</f>
        <v>0 Err.</v>
      </c>
      <c r="F10" s="53"/>
      <c r="G10" s="53"/>
      <c r="H10" s="53"/>
      <c r="J10" s="8" t="s">
        <v>97</v>
      </c>
    </row>
    <row r="11" spans="1:10" x14ac:dyDescent="0.25">
      <c r="B11" s="53"/>
      <c r="H11" s="53"/>
      <c r="J11" s="8" t="s">
        <v>98</v>
      </c>
    </row>
    <row r="12" spans="1:10" x14ac:dyDescent="0.25">
      <c r="B12" s="53"/>
      <c r="C12" s="45" t="s">
        <v>115</v>
      </c>
      <c r="D12" s="53"/>
      <c r="F12" s="53"/>
      <c r="G12" s="45" t="s">
        <v>109</v>
      </c>
      <c r="H12" s="53"/>
      <c r="J12" s="8" t="s">
        <v>99</v>
      </c>
    </row>
    <row r="13" spans="1:10" x14ac:dyDescent="0.25">
      <c r="B13" s="53"/>
      <c r="C13" s="12" t="str">
        <f>IFERROR(INDEX(Analyse!$C$28:$S$35,MATCH(C12,Analyse!$A$28:$A$35,0),MATCH('Graphique d''analyse'!$A$7,Analyse!$C$27:$S$27,0))*(IF(LEFT(A7,1)="%",100,1))&amp;(IF(LEFT(A7,1)="%","%"," Err.")),"")</f>
        <v>0 Err.</v>
      </c>
      <c r="D13" s="53"/>
      <c r="E13" s="53"/>
      <c r="F13" s="53"/>
      <c r="G13" s="12" t="str">
        <f>IFERROR(INDEX(Analyse!$C$28:$S$35,MATCH(G12,Analyse!$A$28:$A$35,0),MATCH('Graphique d''analyse'!$A$7,Analyse!$C$27:$S$27,0))*(IF(LEFT(A7,1)="%",100,1))&amp;(IF(LEFT(A7,1)="%","%"," Err.")),"")</f>
        <v>0 Err.</v>
      </c>
      <c r="H13" s="53"/>
      <c r="J13" s="8" t="s">
        <v>218</v>
      </c>
    </row>
    <row r="14" spans="1:10" x14ac:dyDescent="0.25">
      <c r="B14" s="53"/>
      <c r="C14" s="53"/>
      <c r="D14" s="53"/>
      <c r="E14" s="53"/>
      <c r="F14" s="53"/>
      <c r="G14" s="53"/>
      <c r="H14" s="53"/>
      <c r="J14" s="8" t="s">
        <v>100</v>
      </c>
    </row>
    <row r="15" spans="1:10" x14ac:dyDescent="0.25">
      <c r="J15" s="8" t="s">
        <v>101</v>
      </c>
    </row>
    <row r="16" spans="1:10" x14ac:dyDescent="0.25">
      <c r="B16" s="45" t="s">
        <v>114</v>
      </c>
      <c r="C16" s="53"/>
      <c r="D16" s="53"/>
      <c r="E16" s="53"/>
      <c r="F16" s="53"/>
      <c r="G16" s="53"/>
      <c r="H16" s="45" t="s">
        <v>110</v>
      </c>
      <c r="J16" s="8" t="s">
        <v>102</v>
      </c>
    </row>
    <row r="17" spans="2:10" x14ac:dyDescent="0.25">
      <c r="B17" s="12" t="str">
        <f>IFERROR(INDEX(Analyse!$C$28:$S$35,MATCH(B16,Analyse!$A$28:$A$35,0),MATCH('Graphique d''analyse'!$A$7,Analyse!$C$27:$S$27,0))*(IF(LEFT(A7,1)="%",100,1))&amp;(IF(LEFT(A7,1)="%","%"," Err.")),"")</f>
        <v>0 Err.</v>
      </c>
      <c r="C17" s="53"/>
      <c r="D17" s="53"/>
      <c r="E17" s="53"/>
      <c r="F17" s="53"/>
      <c r="G17" s="53"/>
      <c r="H17" s="12" t="str">
        <f>IFERROR(INDEX(Analyse!$C$28:$S$35,MATCH(H16,Analyse!$A$28:$A$35,0),MATCH('Graphique d''analyse'!$A$7,Analyse!$C$27:$S$27,0))*(IF(LEFT(A7,1)="%",100,1))&amp;(IF(LEFT(A7,1)="%","%"," Err.")),"")</f>
        <v>0 Err.</v>
      </c>
      <c r="J17" s="8" t="s">
        <v>103</v>
      </c>
    </row>
    <row r="18" spans="2:10" x14ac:dyDescent="0.25">
      <c r="B18" s="53"/>
      <c r="C18" s="53"/>
      <c r="D18" s="53"/>
      <c r="E18" s="53"/>
      <c r="F18" s="53"/>
      <c r="G18" s="53"/>
      <c r="H18" s="53"/>
      <c r="J18" s="89" t="s">
        <v>104</v>
      </c>
    </row>
    <row r="19" spans="2:10" x14ac:dyDescent="0.25">
      <c r="B19" s="53"/>
      <c r="D19" s="53"/>
      <c r="E19" s="53"/>
      <c r="F19" s="53"/>
      <c r="H19" s="53"/>
      <c r="J19" s="8" t="s">
        <v>105</v>
      </c>
    </row>
    <row r="20" spans="2:10" x14ac:dyDescent="0.25">
      <c r="B20" s="53"/>
      <c r="H20" s="53"/>
      <c r="J20" s="8" t="s">
        <v>106</v>
      </c>
    </row>
    <row r="21" spans="2:10" x14ac:dyDescent="0.25">
      <c r="B21" s="53"/>
      <c r="C21" s="45" t="s">
        <v>113</v>
      </c>
      <c r="D21" s="53"/>
      <c r="E21" s="53"/>
      <c r="F21" s="53"/>
      <c r="G21" s="45" t="s">
        <v>111</v>
      </c>
      <c r="H21" s="53"/>
      <c r="J21" s="8" t="s">
        <v>107</v>
      </c>
    </row>
    <row r="22" spans="2:10" x14ac:dyDescent="0.25">
      <c r="B22" s="53"/>
      <c r="C22" s="12" t="str">
        <f>IFERROR(INDEX(Analyse!$C$28:$S$35,MATCH(C21,Analyse!$A$28:$A$35,0),MATCH('Graphique d''analyse'!$A$7,Analyse!$C$27:$S$27,0))*(IF(LEFT(A7,1)="%",100,1))&amp;(IF(LEFT(A7,1)="%","%"," Err.")),"")</f>
        <v>0 Err.</v>
      </c>
      <c r="D22" s="53"/>
      <c r="F22" s="53"/>
      <c r="G22" s="12" t="str">
        <f>IFERROR(INDEX(Analyse!$C$28:$S$35,MATCH(G21,Analyse!$A$28:$A$35,0),MATCH('Graphique d''analyse'!$A$7,Analyse!$C$27:$S$27,0))*(IF(LEFT(A7,1)="%",100,1))&amp;(IF(LEFT(A7,1)="%","%"," Err.")),"")</f>
        <v>0 Err.</v>
      </c>
      <c r="H22" s="53"/>
    </row>
    <row r="23" spans="2:10" x14ac:dyDescent="0.25">
      <c r="C23" s="53"/>
      <c r="D23" s="53"/>
      <c r="F23" s="53"/>
      <c r="G23" s="53"/>
    </row>
    <row r="24" spans="2:10" x14ac:dyDescent="0.25">
      <c r="E24" s="45" t="s">
        <v>112</v>
      </c>
    </row>
    <row r="25" spans="2:10" x14ac:dyDescent="0.25">
      <c r="E25" s="12" t="str">
        <f>IFERROR(INDEX(Analyse!$C$28:$S$35,MATCH(E24,Analyse!$A$28:$A$35,0),MATCH('Graphique d''analyse'!$A$7,Analyse!$C$27:$S$27,0))*(IF(LEFT(A7,1)="%",100,1))&amp;(IF(LEFT(A7,1)="%","%"," Err.")),"")</f>
        <v>0 Err.</v>
      </c>
    </row>
  </sheetData>
  <sheetProtection algorithmName="SHA-512" hashValue="i0ApGH8ApoNoOt0cUFvDxkp8Gp+Pc2/rTCdN/MV7XOJ+XViafQV4OZ3QeUzJYwDsNa73tSwjTkR3y5WCKUeL7w==" saltValue="RgyUkZyuJkSWH9bhjfpkjQ==" spinCount="100000" sheet="1" objects="1" scenarios="1"/>
  <protectedRanges>
    <protectedRange sqref="A7:C7" name="Plage1"/>
  </protectedRanges>
  <mergeCells count="1">
    <mergeCell ref="A7:C7"/>
  </mergeCells>
  <dataValidations count="2">
    <dataValidation type="list" allowBlank="1" showInputMessage="1" showErrorMessage="1" sqref="A8"/>
    <dataValidation type="list" allowBlank="1" showInputMessage="1" showErrorMessage="1" sqref="A8 A7:C7">
      <formula1>$J$9:$J$21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18"/>
  <sheetViews>
    <sheetView showGridLines="0" workbookViewId="0">
      <selection activeCell="M18" sqref="M18"/>
    </sheetView>
  </sheetViews>
  <sheetFormatPr baseColWidth="10" defaultColWidth="11.42578125" defaultRowHeight="15" x14ac:dyDescent="0.25"/>
  <cols>
    <col min="1" max="1" width="8.5703125" customWidth="1"/>
    <col min="2" max="13" width="8.7109375" customWidth="1"/>
  </cols>
  <sheetData>
    <row r="1" spans="1:13" ht="31.5" x14ac:dyDescent="0.5">
      <c r="A1" s="80" t="s">
        <v>131</v>
      </c>
      <c r="B1" s="80"/>
      <c r="C1" s="80"/>
      <c r="D1" s="80"/>
      <c r="E1" s="80"/>
    </row>
    <row r="4" spans="1:13" ht="33" customHeight="1" x14ac:dyDescent="0.3">
      <c r="B4" s="188" t="s">
        <v>132</v>
      </c>
      <c r="C4" s="189"/>
      <c r="D4" s="189"/>
      <c r="E4" s="190"/>
      <c r="F4" s="188" t="s">
        <v>133</v>
      </c>
      <c r="G4" s="189"/>
      <c r="H4" s="189"/>
      <c r="I4" s="190"/>
      <c r="J4" s="188" t="s">
        <v>134</v>
      </c>
      <c r="K4" s="189"/>
      <c r="L4" s="189"/>
      <c r="M4" s="190"/>
    </row>
    <row r="5" spans="1:13" x14ac:dyDescent="0.25">
      <c r="B5" s="81" t="s">
        <v>135</v>
      </c>
      <c r="C5" s="81" t="s">
        <v>136</v>
      </c>
      <c r="D5" s="82" t="s">
        <v>135</v>
      </c>
      <c r="E5" s="82" t="s">
        <v>136</v>
      </c>
      <c r="F5" s="81" t="s">
        <v>135</v>
      </c>
      <c r="G5" s="81" t="s">
        <v>136</v>
      </c>
      <c r="H5" s="82" t="s">
        <v>135</v>
      </c>
      <c r="I5" s="82" t="s">
        <v>136</v>
      </c>
      <c r="J5" s="81" t="s">
        <v>135</v>
      </c>
      <c r="K5" s="81" t="s">
        <v>136</v>
      </c>
      <c r="L5" s="82" t="s">
        <v>135</v>
      </c>
      <c r="M5" s="82" t="s">
        <v>136</v>
      </c>
    </row>
    <row r="6" spans="1:13" x14ac:dyDescent="0.25">
      <c r="B6" s="87" t="s">
        <v>137</v>
      </c>
      <c r="C6" s="87" t="s">
        <v>138</v>
      </c>
      <c r="D6" s="87" t="s">
        <v>139</v>
      </c>
      <c r="E6" s="87" t="s">
        <v>140</v>
      </c>
      <c r="F6" s="87" t="s">
        <v>139</v>
      </c>
      <c r="G6" s="87" t="s">
        <v>140</v>
      </c>
      <c r="H6" s="87" t="s">
        <v>137</v>
      </c>
      <c r="I6" s="87" t="s">
        <v>138</v>
      </c>
      <c r="J6" s="87" t="s">
        <v>139</v>
      </c>
      <c r="K6" s="87" t="s">
        <v>140</v>
      </c>
      <c r="L6" s="87" t="s">
        <v>137</v>
      </c>
      <c r="M6" s="87" t="s">
        <v>138</v>
      </c>
    </row>
    <row r="7" spans="1:13" x14ac:dyDescent="0.25">
      <c r="A7" s="79" t="s">
        <v>108</v>
      </c>
      <c r="B7" s="3">
        <f>-90-(Identification!$B$13)</f>
        <v>-100</v>
      </c>
      <c r="C7" s="3">
        <f>-Identification!$B$13</f>
        <v>-10</v>
      </c>
      <c r="D7" s="3">
        <f>Identification!$B$13</f>
        <v>10</v>
      </c>
      <c r="E7" s="3">
        <f>90+(Identification!$B$13)</f>
        <v>100</v>
      </c>
      <c r="F7" s="3">
        <f>90+Identification!$B$13</f>
        <v>100</v>
      </c>
      <c r="G7" s="3">
        <v>180</v>
      </c>
      <c r="H7" s="3">
        <v>-180</v>
      </c>
      <c r="I7" s="3">
        <f>-90-Identification!$B$13</f>
        <v>-100</v>
      </c>
      <c r="J7" s="83">
        <v>1000</v>
      </c>
      <c r="K7" s="83">
        <v>1000</v>
      </c>
      <c r="L7" s="83">
        <v>1000</v>
      </c>
      <c r="M7" s="83">
        <v>1000</v>
      </c>
    </row>
    <row r="8" spans="1:13" x14ac:dyDescent="0.25">
      <c r="A8" s="79" t="s">
        <v>109</v>
      </c>
      <c r="B8" s="3">
        <f>-45-(Identification!$B$13)</f>
        <v>-55</v>
      </c>
      <c r="C8" s="3">
        <f>-Identification!$B$13</f>
        <v>-10</v>
      </c>
      <c r="D8" s="3">
        <f>Identification!$B$13</f>
        <v>10</v>
      </c>
      <c r="E8" s="3">
        <f>45+(Identification!$B$13)</f>
        <v>55</v>
      </c>
      <c r="F8" s="3">
        <f>45+Identification!$B$13</f>
        <v>55</v>
      </c>
      <c r="G8" s="3">
        <v>180</v>
      </c>
      <c r="H8" s="3">
        <v>-180</v>
      </c>
      <c r="I8" s="3">
        <f>-135-(Identification!$B$13)</f>
        <v>-145</v>
      </c>
      <c r="J8" s="3">
        <f>135+(Identification!$B$13)</f>
        <v>145</v>
      </c>
      <c r="K8" s="3">
        <v>180</v>
      </c>
      <c r="L8" s="3">
        <v>-180</v>
      </c>
      <c r="M8" s="3">
        <f>-45-Identification!$B$13</f>
        <v>-55</v>
      </c>
    </row>
    <row r="9" spans="1:13" x14ac:dyDescent="0.25">
      <c r="A9" s="79" t="s">
        <v>110</v>
      </c>
      <c r="B9" s="3">
        <f>-90-(Identification!$B$13)</f>
        <v>-100</v>
      </c>
      <c r="C9" s="3">
        <f>-Identification!$B$13</f>
        <v>-10</v>
      </c>
      <c r="D9" s="3">
        <f>Identification!$B$13</f>
        <v>10</v>
      </c>
      <c r="E9" s="3">
        <f>90+(Identification!$B$13)</f>
        <v>100</v>
      </c>
      <c r="F9" s="83">
        <v>1000</v>
      </c>
      <c r="G9" s="83">
        <v>1000</v>
      </c>
      <c r="H9" s="83">
        <v>1000</v>
      </c>
      <c r="I9" s="83">
        <v>1000</v>
      </c>
      <c r="J9" s="3">
        <f>90+Identification!$B$13</f>
        <v>100</v>
      </c>
      <c r="K9" s="3">
        <v>180</v>
      </c>
      <c r="L9" s="3">
        <v>-180</v>
      </c>
      <c r="M9" s="3">
        <f>-90-Identification!$B$13</f>
        <v>-100</v>
      </c>
    </row>
    <row r="10" spans="1:13" x14ac:dyDescent="0.25">
      <c r="A10" s="79" t="s">
        <v>111</v>
      </c>
      <c r="B10" s="3">
        <f>-45-(Identification!$B$13)</f>
        <v>-55</v>
      </c>
      <c r="C10" s="3">
        <f>-Identification!$B$13</f>
        <v>-10</v>
      </c>
      <c r="D10" s="3">
        <f>Identification!$B$13</f>
        <v>10</v>
      </c>
      <c r="E10" s="3">
        <f>45+(Identification!$B$13)</f>
        <v>55</v>
      </c>
      <c r="F10" s="3">
        <f>135+(Identification!$B$13)</f>
        <v>145</v>
      </c>
      <c r="G10" s="3">
        <v>180</v>
      </c>
      <c r="H10" s="3">
        <v>-180</v>
      </c>
      <c r="I10" s="3">
        <f>-45-Identification!$B$13</f>
        <v>-55</v>
      </c>
      <c r="J10" s="3">
        <f>45+Identification!$B$13</f>
        <v>55</v>
      </c>
      <c r="K10" s="3">
        <v>180</v>
      </c>
      <c r="L10" s="3">
        <v>-180</v>
      </c>
      <c r="M10" s="3">
        <f>-135-(Identification!$B$13)</f>
        <v>-145</v>
      </c>
    </row>
    <row r="11" spans="1:13" x14ac:dyDescent="0.25">
      <c r="A11" s="79" t="s">
        <v>112</v>
      </c>
      <c r="B11" s="3">
        <f>-90-(Identification!$B$13)</f>
        <v>-100</v>
      </c>
      <c r="C11" s="3">
        <f>-Identification!$B$13</f>
        <v>-10</v>
      </c>
      <c r="D11" s="3">
        <f>Identification!$B$13</f>
        <v>10</v>
      </c>
      <c r="E11" s="3">
        <f>90+(Identification!$B$13)</f>
        <v>100</v>
      </c>
      <c r="F11" s="3">
        <f>90+Identification!$B$13</f>
        <v>100</v>
      </c>
      <c r="G11" s="3">
        <v>180</v>
      </c>
      <c r="H11" s="3">
        <v>-180</v>
      </c>
      <c r="I11" s="3">
        <f>-90-Identification!$B$13</f>
        <v>-100</v>
      </c>
      <c r="J11" s="83">
        <v>1000</v>
      </c>
      <c r="K11" s="83">
        <v>1000</v>
      </c>
      <c r="L11" s="83">
        <v>1000</v>
      </c>
      <c r="M11" s="83">
        <v>1000</v>
      </c>
    </row>
    <row r="12" spans="1:13" x14ac:dyDescent="0.25">
      <c r="A12" s="79" t="s">
        <v>113</v>
      </c>
      <c r="B12" s="3">
        <f>-45-(Identification!$B$13)</f>
        <v>-55</v>
      </c>
      <c r="C12" s="3">
        <f>-Identification!$B$13</f>
        <v>-10</v>
      </c>
      <c r="D12" s="3">
        <f>Identification!$B$13</f>
        <v>10</v>
      </c>
      <c r="E12" s="3">
        <f>45+(Identification!$B$13)</f>
        <v>55</v>
      </c>
      <c r="F12" s="3">
        <f>45+Identification!$B$13</f>
        <v>55</v>
      </c>
      <c r="G12" s="3">
        <v>180</v>
      </c>
      <c r="H12" s="3">
        <v>-180</v>
      </c>
      <c r="I12" s="3">
        <f>-135-(Identification!$B$13)</f>
        <v>-145</v>
      </c>
      <c r="J12" s="3">
        <f>135+(Identification!$B$13)</f>
        <v>145</v>
      </c>
      <c r="K12" s="3">
        <v>180</v>
      </c>
      <c r="L12" s="3">
        <v>-180</v>
      </c>
      <c r="M12" s="3">
        <f>-45-Identification!$B$13</f>
        <v>-55</v>
      </c>
    </row>
    <row r="13" spans="1:13" x14ac:dyDescent="0.25">
      <c r="A13" s="79" t="s">
        <v>114</v>
      </c>
      <c r="B13" s="3">
        <f>-90-(Identification!$B$13)</f>
        <v>-100</v>
      </c>
      <c r="C13" s="3">
        <f>-Identification!$B$13</f>
        <v>-10</v>
      </c>
      <c r="D13" s="3">
        <f>Identification!$B$13</f>
        <v>10</v>
      </c>
      <c r="E13" s="3">
        <f>90+(Identification!$B$13)</f>
        <v>100</v>
      </c>
      <c r="F13" s="83">
        <v>1000</v>
      </c>
      <c r="G13" s="83">
        <v>1000</v>
      </c>
      <c r="H13" s="83">
        <v>1000</v>
      </c>
      <c r="I13" s="83">
        <v>1000</v>
      </c>
      <c r="J13" s="3">
        <f>90+Identification!$B$13</f>
        <v>100</v>
      </c>
      <c r="K13" s="3">
        <v>180</v>
      </c>
      <c r="L13" s="3">
        <v>-180</v>
      </c>
      <c r="M13" s="3">
        <f>-90-Identification!$B$13</f>
        <v>-100</v>
      </c>
    </row>
    <row r="14" spans="1:13" x14ac:dyDescent="0.25">
      <c r="A14" s="79" t="s">
        <v>115</v>
      </c>
      <c r="B14" s="3">
        <f>-45-(Identification!$B$13)</f>
        <v>-55</v>
      </c>
      <c r="C14" s="3">
        <f>-Identification!$B$13</f>
        <v>-10</v>
      </c>
      <c r="D14" s="3">
        <f>Identification!$B$13</f>
        <v>10</v>
      </c>
      <c r="E14" s="3">
        <f>45+(Identification!$B$13)</f>
        <v>55</v>
      </c>
      <c r="F14" s="3">
        <f>135+(Identification!$B$13)</f>
        <v>145</v>
      </c>
      <c r="G14" s="3">
        <v>180</v>
      </c>
      <c r="H14" s="3">
        <v>-180</v>
      </c>
      <c r="I14" s="3">
        <f>-45-Identification!$B$13</f>
        <v>-55</v>
      </c>
      <c r="J14" s="3">
        <f>45+Identification!$B$13</f>
        <v>55</v>
      </c>
      <c r="K14" s="3">
        <v>180</v>
      </c>
      <c r="L14" s="3">
        <v>-180</v>
      </c>
      <c r="M14" s="3">
        <f>-135-(Identification!$B$13)</f>
        <v>-145</v>
      </c>
    </row>
    <row r="17" spans="1:2" x14ac:dyDescent="0.25">
      <c r="A17" s="3" t="b">
        <v>1</v>
      </c>
      <c r="B17" s="3">
        <v>1</v>
      </c>
    </row>
    <row r="18" spans="1:2" x14ac:dyDescent="0.25">
      <c r="A18" s="3" t="b">
        <v>0</v>
      </c>
      <c r="B18" s="85">
        <v>0</v>
      </c>
    </row>
  </sheetData>
  <sheetProtection algorithmName="SHA-512" hashValue="1wV6Il37tR+BmEBYVK6oYiARh1NEtjGM1Z/vhaeL3+pUp8sXXFFTIXcfly9X9KlBWLesxOIWAKMnILoaMZ3weA==" saltValue="aEaXg+qEr5qyXN/eHrHrfg==" spinCount="100000" sheet="1" objects="1" scenarios="1"/>
  <mergeCells count="3">
    <mergeCell ref="F4:I4"/>
    <mergeCell ref="J4:M4"/>
    <mergeCell ref="B4:E4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I30"/>
  <sheetViews>
    <sheetView topLeftCell="A4" workbookViewId="0">
      <selection activeCell="D18" sqref="D18"/>
    </sheetView>
  </sheetViews>
  <sheetFormatPr baseColWidth="10" defaultColWidth="11.42578125" defaultRowHeight="15" x14ac:dyDescent="0.25"/>
  <cols>
    <col min="1" max="1" width="12.42578125" customWidth="1"/>
    <col min="2" max="2" width="11.28515625" customWidth="1"/>
    <col min="3" max="3" width="8.28515625" customWidth="1"/>
    <col min="4" max="4" width="31.7109375" customWidth="1"/>
    <col min="5" max="10" width="8.28515625" customWidth="1"/>
  </cols>
  <sheetData>
    <row r="1" spans="1:6" ht="21" x14ac:dyDescent="0.35">
      <c r="A1" s="1" t="s">
        <v>141</v>
      </c>
    </row>
    <row r="2" spans="1:6" ht="21" x14ac:dyDescent="0.35">
      <c r="A2" s="1"/>
    </row>
    <row r="3" spans="1:6" ht="15.75" x14ac:dyDescent="0.25">
      <c r="A3" s="15" t="s">
        <v>142</v>
      </c>
    </row>
    <row r="4" spans="1:6" x14ac:dyDescent="0.25">
      <c r="A4" s="5"/>
      <c r="B4" s="5" t="s">
        <v>143</v>
      </c>
      <c r="C4" s="5" t="s">
        <v>80</v>
      </c>
      <c r="D4" s="3"/>
    </row>
    <row r="5" spans="1:6" x14ac:dyDescent="0.25">
      <c r="A5" s="3" t="s">
        <v>144</v>
      </c>
      <c r="B5" s="12">
        <f>(Caractérisation!C12+Caractérisation!C13)/2</f>
        <v>0</v>
      </c>
      <c r="C5" s="12">
        <f>(Caractérisation!D12+Caractérisation!D13)/2</f>
        <v>0</v>
      </c>
      <c r="D5" s="3" t="s">
        <v>145</v>
      </c>
    </row>
    <row r="6" spans="1:6" x14ac:dyDescent="0.25">
      <c r="A6" s="3" t="s">
        <v>146</v>
      </c>
      <c r="B6" s="12">
        <f>(Caractérisation!C14+Caractérisation!C15)/2</f>
        <v>0</v>
      </c>
      <c r="C6" s="12">
        <f>(Caractérisation!D14+Caractérisation!D15)/2</f>
        <v>0</v>
      </c>
      <c r="D6" s="3" t="s">
        <v>147</v>
      </c>
    </row>
    <row r="7" spans="1:6" x14ac:dyDescent="0.25">
      <c r="A7" s="3" t="s">
        <v>148</v>
      </c>
      <c r="B7" s="12">
        <f>Caractérisation!C16</f>
        <v>0</v>
      </c>
      <c r="C7" s="12">
        <f>Caractérisation!D16</f>
        <v>0</v>
      </c>
      <c r="D7" s="3" t="s">
        <v>149</v>
      </c>
    </row>
    <row r="8" spans="1:6" x14ac:dyDescent="0.25">
      <c r="A8" s="3" t="s">
        <v>150</v>
      </c>
      <c r="B8" s="12">
        <f>B7</f>
        <v>0</v>
      </c>
      <c r="C8" s="12">
        <v>0</v>
      </c>
      <c r="D8" s="3" t="s">
        <v>151</v>
      </c>
    </row>
    <row r="10" spans="1:6" ht="15.75" x14ac:dyDescent="0.25">
      <c r="A10" s="15" t="s">
        <v>152</v>
      </c>
    </row>
    <row r="11" spans="1:6" ht="21" x14ac:dyDescent="0.35">
      <c r="A11" s="14"/>
      <c r="B11" s="5" t="s">
        <v>153</v>
      </c>
      <c r="D11" s="16"/>
      <c r="E11" s="16"/>
      <c r="F11" s="16"/>
    </row>
    <row r="12" spans="1:6" x14ac:dyDescent="0.25">
      <c r="A12" s="3" t="s">
        <v>154</v>
      </c>
      <c r="B12" s="26">
        <f>SQRT((B7-B5)^2+(C7-C5)^2)</f>
        <v>0</v>
      </c>
      <c r="C12" s="9" t="s">
        <v>155</v>
      </c>
      <c r="D12" s="10"/>
    </row>
    <row r="13" spans="1:6" x14ac:dyDescent="0.25">
      <c r="A13" s="3" t="s">
        <v>156</v>
      </c>
      <c r="B13" s="26">
        <f>SQRT((B7-B6)^2+(C7-C6)^2)</f>
        <v>0</v>
      </c>
      <c r="C13" s="9" t="s">
        <v>157</v>
      </c>
      <c r="D13" s="10"/>
    </row>
    <row r="14" spans="1:6" x14ac:dyDescent="0.25">
      <c r="A14" s="3" t="s">
        <v>158</v>
      </c>
      <c r="B14" s="26">
        <f>SQRT((B8-B5)^2+(C8-C5)^2)</f>
        <v>0</v>
      </c>
      <c r="C14" s="19" t="s">
        <v>159</v>
      </c>
      <c r="D14" s="20"/>
    </row>
    <row r="15" spans="1:6" x14ac:dyDescent="0.25">
      <c r="A15" s="3" t="s">
        <v>160</v>
      </c>
      <c r="B15" s="26">
        <f>SQRT((B8-B6)^2+(C8-C6)^2)</f>
        <v>0</v>
      </c>
      <c r="C15" s="9" t="s">
        <v>161</v>
      </c>
      <c r="D15" s="10"/>
    </row>
    <row r="16" spans="1:6" x14ac:dyDescent="0.25">
      <c r="A16" s="3" t="s">
        <v>162</v>
      </c>
      <c r="B16" s="26">
        <f>C7</f>
        <v>0</v>
      </c>
      <c r="C16" s="9" t="s">
        <v>163</v>
      </c>
      <c r="D16" s="10"/>
    </row>
    <row r="18" spans="1:9" ht="15.75" x14ac:dyDescent="0.25">
      <c r="A18" s="15" t="s">
        <v>164</v>
      </c>
    </row>
    <row r="19" spans="1:9" x14ac:dyDescent="0.25">
      <c r="A19" s="5"/>
      <c r="B19" s="5" t="s">
        <v>164</v>
      </c>
      <c r="C19" s="16"/>
      <c r="D19" s="16"/>
      <c r="E19" s="16"/>
      <c r="F19" s="16"/>
      <c r="G19" s="16"/>
      <c r="H19" s="16"/>
      <c r="I19" s="16"/>
    </row>
    <row r="20" spans="1:9" x14ac:dyDescent="0.25">
      <c r="A20" s="3" t="s">
        <v>165</v>
      </c>
      <c r="B20" s="28" t="e">
        <f>DEGREES(ACOS((B16^2+B12^2-B14^2)/(2*B16*B12)))</f>
        <v>#DIV/0!</v>
      </c>
    </row>
    <row r="21" spans="1:9" x14ac:dyDescent="0.25">
      <c r="A21" s="3" t="s">
        <v>166</v>
      </c>
      <c r="B21" s="28" t="e">
        <f>DEGREES(ACOS((B16^2+B13^2-B15^2)/(2*B16*B13)))</f>
        <v>#DIV/0!</v>
      </c>
    </row>
    <row r="22" spans="1:9" x14ac:dyDescent="0.25">
      <c r="A22" s="3" t="s">
        <v>167</v>
      </c>
      <c r="B22" s="28" t="e">
        <f>B21+B20</f>
        <v>#DIV/0!</v>
      </c>
    </row>
    <row r="24" spans="1:9" x14ac:dyDescent="0.25">
      <c r="A24" s="16" t="s">
        <v>168</v>
      </c>
    </row>
    <row r="25" spans="1:9" x14ac:dyDescent="0.25">
      <c r="A25" s="77" t="s">
        <v>169</v>
      </c>
      <c r="B25" s="77" t="s">
        <v>170</v>
      </c>
      <c r="C25" s="11" t="s">
        <v>171</v>
      </c>
      <c r="D25" s="10"/>
    </row>
    <row r="26" spans="1:9" x14ac:dyDescent="0.25">
      <c r="A26" s="12" t="s">
        <v>38</v>
      </c>
      <c r="B26" s="63">
        <v>0</v>
      </c>
      <c r="C26" s="9"/>
      <c r="D26" s="10"/>
    </row>
    <row r="27" spans="1:9" x14ac:dyDescent="0.25">
      <c r="A27" s="12" t="s">
        <v>40</v>
      </c>
      <c r="B27" s="63">
        <v>-90</v>
      </c>
      <c r="C27" s="9" t="s">
        <v>172</v>
      </c>
      <c r="D27" s="10"/>
    </row>
    <row r="28" spans="1:9" x14ac:dyDescent="0.25">
      <c r="A28" s="12" t="s">
        <v>127</v>
      </c>
      <c r="B28" s="63">
        <v>-180</v>
      </c>
      <c r="C28" s="9" t="s">
        <v>173</v>
      </c>
      <c r="D28" s="10"/>
    </row>
    <row r="29" spans="1:9" x14ac:dyDescent="0.25">
      <c r="A29" s="12" t="s">
        <v>174</v>
      </c>
      <c r="B29" s="63">
        <v>90</v>
      </c>
      <c r="C29" s="9" t="s">
        <v>175</v>
      </c>
      <c r="D29" s="10"/>
    </row>
    <row r="30" spans="1:9" x14ac:dyDescent="0.25">
      <c r="C30" s="2"/>
    </row>
  </sheetData>
  <sheetProtection algorithmName="SHA-512" hashValue="b6YRjRQOaybP+xyo1eZ7f+5EkuSxMZSkZdvrW1kAcExMvjc+WDaDFqgvHxTM/UCLKQ/QKo6amcw6QAq4RgWQzA==" saltValue="A7hyqcJlS3D/6mJuzfgcCg==" spinCount="100000" sheet="1" objects="1" scenarios="1"/>
  <protectedRanges>
    <protectedRange sqref="B26:B29" name="Caractérisation"/>
  </protectedRange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6</vt:i4>
      </vt:variant>
    </vt:vector>
  </HeadingPairs>
  <TitlesOfParts>
    <vt:vector size="16" baseType="lpstr">
      <vt:lpstr>Instructions</vt:lpstr>
      <vt:lpstr>Caractérisation</vt:lpstr>
      <vt:lpstr>Identification</vt:lpstr>
      <vt:lpstr>Entrée de données</vt:lpstr>
      <vt:lpstr>Analyse</vt:lpstr>
      <vt:lpstr>Analyse supplémentaire</vt:lpstr>
      <vt:lpstr>Graphique d'analyse</vt:lpstr>
      <vt:lpstr>Confusions</vt:lpstr>
      <vt:lpstr>Calculs</vt:lpstr>
      <vt:lpstr>Séquences</vt:lpstr>
      <vt:lpstr>Analyse!Zone_d_impression</vt:lpstr>
      <vt:lpstr>'Analyse supplémentaire'!Zone_d_impression</vt:lpstr>
      <vt:lpstr>Caractérisation!Zone_d_impression</vt:lpstr>
      <vt:lpstr>'Graphique d''analyse'!Zone_d_impression</vt:lpstr>
      <vt:lpstr>Identification!Zone_d_impression</vt:lpstr>
      <vt:lpstr>Instructions!Zone_d_impression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JFB</dc:creator>
  <cp:keywords/>
  <dc:description/>
  <cp:lastModifiedBy>Julie Dufour</cp:lastModifiedBy>
  <cp:revision/>
  <dcterms:created xsi:type="dcterms:W3CDTF">2016-06-21T19:06:09Z</dcterms:created>
  <dcterms:modified xsi:type="dcterms:W3CDTF">2023-09-06T15:42:57Z</dcterms:modified>
  <cp:category/>
  <cp:contentStatus/>
</cp:coreProperties>
</file>